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280" windowHeight="6615" activeTab="0"/>
  </bookViews>
  <sheets>
    <sheet name="Menu" sheetId="1" r:id="rId1"/>
    <sheet name="Menu (2)" sheetId="2" r:id="rId2"/>
    <sheet name="A Nonlinear PPC" sheetId="3" r:id="rId3"/>
    <sheet name="2 PPCs" sheetId="4" r:id="rId4"/>
    <sheet name="Linear PPC" sheetId="5" r:id="rId5"/>
    <sheet name="Gains_Linear" sheetId="6" r:id="rId6"/>
    <sheet name="Graph Linear" sheetId="7" r:id="rId7"/>
    <sheet name="Production &amp; Consumption" sheetId="8" r:id="rId8"/>
    <sheet name="Sharing Gains" sheetId="9" r:id="rId9"/>
    <sheet name="Nonlinear PPCs" sheetId="10" r:id="rId10"/>
    <sheet name="Gains from Trade" sheetId="11" r:id="rId11"/>
    <sheet name="Nonlinear PPCs &amp; CPCs" sheetId="12" r:id="rId12"/>
    <sheet name="PPC &amp; CPC" sheetId="13" r:id="rId13"/>
  </sheets>
  <definedNames/>
  <calcPr fullCalcOnLoad="1"/>
</workbook>
</file>

<file path=xl/sharedStrings.xml><?xml version="1.0" encoding="utf-8"?>
<sst xmlns="http://schemas.openxmlformats.org/spreadsheetml/2006/main" count="325" uniqueCount="216">
  <si>
    <t>X</t>
  </si>
  <si>
    <t>Y</t>
  </si>
  <si>
    <t>Opp Cost of X</t>
  </si>
  <si>
    <t>ChY/ChX</t>
  </si>
  <si>
    <t>Prop_X</t>
  </si>
  <si>
    <t>Provide these Values:</t>
  </si>
  <si>
    <t>Maximum X =</t>
  </si>
  <si>
    <t>Maximum Y =</t>
  </si>
  <si>
    <t>4.  Y = Ymax - aX; a =</t>
  </si>
  <si>
    <t xml:space="preserve">    Maximum X </t>
  </si>
  <si>
    <t xml:space="preserve">    Maximum Y </t>
  </si>
  <si>
    <t>Initial Y</t>
  </si>
  <si>
    <t>New Y</t>
  </si>
  <si>
    <t>Initial</t>
  </si>
  <si>
    <t>New</t>
  </si>
  <si>
    <t>Provide these New Values:</t>
  </si>
  <si>
    <t>PPC_1</t>
  </si>
  <si>
    <t>PPC_2</t>
  </si>
  <si>
    <t>OppCost of X</t>
  </si>
  <si>
    <t xml:space="preserve">  Maximum X</t>
  </si>
  <si>
    <t xml:space="preserve">  Maximum Y</t>
  </si>
  <si>
    <t>Technical notes</t>
  </si>
  <si>
    <t>Production</t>
  </si>
  <si>
    <t>Provide these Values for A:</t>
  </si>
  <si>
    <t>Possibilities</t>
  </si>
  <si>
    <t>Maximum X</t>
  </si>
  <si>
    <t>Prop X</t>
  </si>
  <si>
    <t>Maximum Y</t>
  </si>
  <si>
    <t xml:space="preserve">A's opp. cost of X = </t>
  </si>
  <si>
    <t>units of Y per unit of X</t>
  </si>
  <si>
    <t xml:space="preserve">A's opp. cost of Y = </t>
  </si>
  <si>
    <t>units of X per unit of Y</t>
  </si>
  <si>
    <t>1.  Prop X is the proportion of resources devoted to X production.</t>
  </si>
  <si>
    <t>A's Maximum X</t>
  </si>
  <si>
    <t>A's Maximum Y</t>
  </si>
  <si>
    <t>Implied Opportunity Costs</t>
  </si>
  <si>
    <t>A's Opp Cost of X</t>
  </si>
  <si>
    <t>B's Opp Cost of X</t>
  </si>
  <si>
    <t xml:space="preserve">Maximum Y for </t>
  </si>
  <si>
    <t>B's maximum X</t>
  </si>
  <si>
    <t>Selected X Values</t>
  </si>
  <si>
    <t>B's maximum Y</t>
  </si>
  <si>
    <t>Y_max</t>
  </si>
  <si>
    <t>A's X =</t>
  </si>
  <si>
    <t>Then the following values apply:</t>
  </si>
  <si>
    <t>B's X =</t>
  </si>
  <si>
    <t>A's Y =</t>
  </si>
  <si>
    <t>B's Y =</t>
  </si>
  <si>
    <t>Total X =</t>
  </si>
  <si>
    <t>A's PPC</t>
  </si>
  <si>
    <t>B's PPC</t>
  </si>
  <si>
    <t>Total Y =</t>
  </si>
  <si>
    <t>(Prod. Poss. Curve)</t>
  </si>
  <si>
    <t>Y_max =</t>
  </si>
  <si>
    <t>This much can be produced if resources are</t>
  </si>
  <si>
    <t>A's PropX</t>
  </si>
  <si>
    <t>A's X</t>
  </si>
  <si>
    <t>A's Y</t>
  </si>
  <si>
    <t>B's Prop X</t>
  </si>
  <si>
    <t>B's X</t>
  </si>
  <si>
    <t>B's Y</t>
  </si>
  <si>
    <t>allocated according to comparative advantage.</t>
  </si>
  <si>
    <t>Pct Gain</t>
  </si>
  <si>
    <t xml:space="preserve"> % Gain in Y without any change in X.</t>
  </si>
  <si>
    <t xml:space="preserve">  A's maximum X</t>
  </si>
  <si>
    <t xml:space="preserve">  A's maximum Y</t>
  </si>
  <si>
    <t xml:space="preserve">  B's maximum X</t>
  </si>
  <si>
    <t xml:space="preserve">  B's maximum Y</t>
  </si>
  <si>
    <t>C =</t>
  </si>
  <si>
    <t>D =</t>
  </si>
  <si>
    <t>Sharing Gains</t>
  </si>
  <si>
    <t>A's prop X</t>
  </si>
  <si>
    <t>A's maximum X</t>
  </si>
  <si>
    <t>A's maximum Y</t>
  </si>
  <si>
    <t xml:space="preserve">A's Opportunity Cost of X is </t>
  </si>
  <si>
    <t xml:space="preserve">B's Opportunity Cost of X is </t>
  </si>
  <si>
    <t>A's X production  is</t>
  </si>
  <si>
    <t xml:space="preserve">B's X production is </t>
  </si>
  <si>
    <t>Trade will occur only if the price of X is between</t>
  </si>
  <si>
    <t>and</t>
  </si>
  <si>
    <t>times the price of Y.</t>
  </si>
  <si>
    <t>times the price of Y?</t>
  </si>
  <si>
    <t>Results of Trade</t>
  </si>
  <si>
    <t>No Trade</t>
  </si>
  <si>
    <t>Trade</t>
  </si>
  <si>
    <t>Price of X =</t>
  </si>
  <si>
    <t xml:space="preserve">Price of Y = </t>
  </si>
  <si>
    <t>Then total X is</t>
  </si>
  <si>
    <t xml:space="preserve">Given that Px/Py = </t>
  </si>
  <si>
    <t>A's Y production is</t>
  </si>
  <si>
    <t>B's Y production is</t>
  </si>
  <si>
    <t>A now consumes</t>
  </si>
  <si>
    <t xml:space="preserve">units of Y, so A's Y consumption increases by </t>
  </si>
  <si>
    <t>units.</t>
  </si>
  <si>
    <t>Total Y production is</t>
  </si>
  <si>
    <t>B now consumes</t>
  </si>
  <si>
    <t>units of Y, so B's Y consumption increases by</t>
  </si>
  <si>
    <t>Production and Consumption</t>
  </si>
  <si>
    <t>Ya_prod</t>
  </si>
  <si>
    <t>Ya_cons</t>
  </si>
  <si>
    <t>Yb_prod</t>
  </si>
  <si>
    <t>Yb_cons</t>
  </si>
  <si>
    <t>Px</t>
  </si>
  <si>
    <t>Py</t>
  </si>
  <si>
    <t>Results of Trade:</t>
  </si>
  <si>
    <t>Px/Py =</t>
  </si>
  <si>
    <t>A's max X =</t>
  </si>
  <si>
    <t>A's max Y =</t>
  </si>
  <si>
    <t xml:space="preserve">B's max X = </t>
  </si>
  <si>
    <t xml:space="preserve">B's max Y = </t>
  </si>
  <si>
    <t>A produces</t>
  </si>
  <si>
    <t>units of X</t>
  </si>
  <si>
    <t xml:space="preserve">and </t>
  </si>
  <si>
    <t>units of Y</t>
  </si>
  <si>
    <t>At these levels, the opportunity costs are:</t>
  </si>
  <si>
    <t xml:space="preserve">B produces </t>
  </si>
  <si>
    <t>units of Y per unit of X for A and</t>
  </si>
  <si>
    <t xml:space="preserve">Total production is </t>
  </si>
  <si>
    <t>units of Y per units of X for B.</t>
  </si>
  <si>
    <t>The Efficient Assignments Are:</t>
  </si>
  <si>
    <t xml:space="preserve">units of Y per unit of X for A and </t>
  </si>
  <si>
    <t>units of Y per unit of X for B.</t>
  </si>
  <si>
    <t xml:space="preserve">So X production stays the same while Y production increases by </t>
  </si>
  <si>
    <t>percent.</t>
  </si>
  <si>
    <t>a =</t>
  </si>
  <si>
    <t>b =</t>
  </si>
  <si>
    <t>1. Ya = A's max Y minus a*Xa^2; Yb = B's max Y minus Xb^2</t>
  </si>
  <si>
    <t>2. a = (A's max Y) divided by (A's max X)^2; and b = (B's max Y) divided by (B's max X)^2.</t>
  </si>
  <si>
    <t>3. Marginal Opportunity costs are 2aX for A and 2bY for Y.</t>
  </si>
  <si>
    <t>4. Assigning production so that marginal opportunity costs are equal for both implies the following assignments of X production:</t>
  </si>
  <si>
    <t xml:space="preserve">          </t>
  </si>
  <si>
    <t>Xa = (b/(a+b))X</t>
  </si>
  <si>
    <t>Xb = (a/(a+b))X</t>
  </si>
  <si>
    <t>Gains from Trade</t>
  </si>
  <si>
    <t>The table below shows production possibilties and consumption possibilities when Px/Py equals the common opportunity cost.</t>
  </si>
  <si>
    <t>The graphs on the next sheet show these possibilities.</t>
  </si>
  <si>
    <t>Both produce</t>
  </si>
  <si>
    <t>units of Y.</t>
  </si>
  <si>
    <t>Prop_maxX</t>
  </si>
  <si>
    <t>X_a</t>
  </si>
  <si>
    <t>PPC_a</t>
  </si>
  <si>
    <t>CPC_a</t>
  </si>
  <si>
    <t>X_b</t>
  </si>
  <si>
    <t>PPC_b</t>
  </si>
  <si>
    <t>CPC_b</t>
  </si>
  <si>
    <t>A's opp. Cost of X</t>
  </si>
  <si>
    <t>B's opp. Cost of X</t>
  </si>
  <si>
    <t xml:space="preserve">A produces </t>
  </si>
  <si>
    <t>units of X and</t>
  </si>
  <si>
    <t>for total production of</t>
  </si>
  <si>
    <t xml:space="preserve">If Px/Py = </t>
  </si>
  <si>
    <t>A's Y consumption is</t>
  </si>
  <si>
    <t>B's Y consumption is</t>
  </si>
  <si>
    <t>Nonlinear PPC's &amp; CPC's</t>
  </si>
  <si>
    <t>Enter these values</t>
  </si>
  <si>
    <t>Px/Py</t>
  </si>
  <si>
    <t>Point</t>
  </si>
  <si>
    <t>OppCost</t>
  </si>
  <si>
    <t>PPC</t>
  </si>
  <si>
    <t>CPCa</t>
  </si>
  <si>
    <t>CPCb</t>
  </si>
  <si>
    <t>CPCc</t>
  </si>
  <si>
    <t>CPCd</t>
  </si>
  <si>
    <t>CPCe</t>
  </si>
  <si>
    <t>CPCf</t>
  </si>
  <si>
    <t>CPCg</t>
  </si>
  <si>
    <t>CPCh</t>
  </si>
  <si>
    <t>CPCi</t>
  </si>
  <si>
    <t>CPCj</t>
  </si>
  <si>
    <t>CPCk</t>
  </si>
  <si>
    <t>A</t>
  </si>
  <si>
    <t>B</t>
  </si>
  <si>
    <t>C</t>
  </si>
  <si>
    <t>D</t>
  </si>
  <si>
    <t>E</t>
  </si>
  <si>
    <t>F</t>
  </si>
  <si>
    <t>G</t>
  </si>
  <si>
    <t>H</t>
  </si>
  <si>
    <t>I</t>
  </si>
  <si>
    <t>J</t>
  </si>
  <si>
    <t>K</t>
  </si>
  <si>
    <t>Y = Ymax - aX; a =</t>
  </si>
  <si>
    <t>Set these values:</t>
  </si>
  <si>
    <t>Values from A Nonlinear PPC</t>
  </si>
  <si>
    <t>4.  coefficient[1]</t>
  </si>
  <si>
    <t>2.  X = Max X times Prop X.</t>
  </si>
  <si>
    <t>3.  Opp. Cost of X = Max Y divided by Max X</t>
  </si>
  <si>
    <t>4.  Y = Max Y minus (Opp. Cost of X) times X</t>
  </si>
  <si>
    <t xml:space="preserve">     or Y = (1 - Prop X) times Max Y</t>
  </si>
  <si>
    <t>Technical Notes</t>
  </si>
  <si>
    <t>Values from Linear PPC</t>
  </si>
  <si>
    <t>Set these Values:</t>
  </si>
  <si>
    <t>For a view of this gain:</t>
  </si>
  <si>
    <r>
      <t>Question</t>
    </r>
    <r>
      <rPr>
        <sz val="10"/>
        <rFont val="Arial"/>
        <family val="2"/>
      </rPr>
      <t>:  Why does the price have to be between</t>
    </r>
  </si>
  <si>
    <t>and that each producer/consumer keeps the original level of X consumption</t>
  </si>
  <si>
    <t>gains from trade, stated in terms of Y, are:</t>
  </si>
  <si>
    <t>Replication of cell I19</t>
  </si>
  <si>
    <t>Replication of cell I20</t>
  </si>
  <si>
    <t>Intermediate Calculations</t>
  </si>
  <si>
    <t>To see how the gains from trade are shared set these values.</t>
  </si>
  <si>
    <t>W/Trade</t>
  </si>
  <si>
    <t xml:space="preserve">A's Opp Cost of X is </t>
  </si>
  <si>
    <t xml:space="preserve">B's Opp Cost of X is </t>
  </si>
  <si>
    <t>W/o Trade</t>
  </si>
  <si>
    <t>From Sharing Gains</t>
  </si>
  <si>
    <t>With X assigned the amount of Y and the opportunity cost are implied.</t>
  </si>
  <si>
    <t>B produces</t>
  </si>
  <si>
    <t>Set levels of X production</t>
  </si>
  <si>
    <r>
      <t>Nonlinear PPCs</t>
    </r>
    <r>
      <rPr>
        <sz val="10"/>
        <rFont val="Arial"/>
        <family val="2"/>
      </rPr>
      <t xml:space="preserve"> - </t>
    </r>
    <r>
      <rPr>
        <b/>
        <sz val="10"/>
        <rFont val="Arial"/>
        <family val="2"/>
      </rPr>
      <t>This sheet refers to the nonlinear PPCs developed earlier in the workbook.</t>
    </r>
  </si>
  <si>
    <t>If production were reassigned more could be produced:</t>
  </si>
  <si>
    <t>units or by</t>
  </si>
  <si>
    <t>When X is set the Y production and opportunity costs are implied:</t>
  </si>
  <si>
    <t>Values from Nonlinear PPCs:</t>
  </si>
  <si>
    <t>Values from  Gains Linear</t>
  </si>
  <si>
    <t>5. Negative numbers have no economic interpretation. Treat them as zero.</t>
  </si>
  <si>
    <t>Specify these values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</si>
</sst>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quot;$&quot;#,##0"/>
    <numFmt numFmtId="167" formatCode="0.000"/>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1"/>
      <name val="Times New Roman"/>
      <family val="0"/>
    </font>
    <font>
      <sz val="10"/>
      <name val="Times New Roman"/>
      <family val="0"/>
    </font>
    <font>
      <sz val="11"/>
      <name val="Arial"/>
      <family val="2"/>
    </font>
    <font>
      <sz val="11"/>
      <color indexed="10"/>
      <name val="Arial"/>
      <family val="2"/>
    </font>
    <font>
      <b/>
      <sz val="14"/>
      <name val="Arial"/>
      <family val="2"/>
    </font>
    <font>
      <sz val="14"/>
      <name val="Arial"/>
      <family val="2"/>
    </font>
    <font>
      <b/>
      <sz val="12"/>
      <name val="Arial"/>
      <family val="2"/>
    </font>
    <font>
      <sz val="12"/>
      <name val="Arial"/>
      <family val="2"/>
    </font>
    <font>
      <u val="single"/>
      <sz val="10"/>
      <name val="Arial"/>
      <family val="2"/>
    </font>
    <font>
      <sz val="22"/>
      <name val="Impact"/>
      <family val="2"/>
    </font>
    <font>
      <sz val="12"/>
      <color indexed="12"/>
      <name val="Times New Roman"/>
      <family val="1"/>
    </font>
    <font>
      <b/>
      <u val="single"/>
      <sz val="12"/>
      <color indexed="12"/>
      <name val="Times New Roman"/>
      <family val="1"/>
    </font>
    <font>
      <b/>
      <sz val="12"/>
      <color indexed="12"/>
      <name val="Times New Roman"/>
      <family val="1"/>
    </font>
    <font>
      <b/>
      <sz val="12"/>
      <name val="Times New Roman"/>
      <family val="1"/>
    </font>
    <font>
      <b/>
      <sz val="11"/>
      <name val="Times New Roman"/>
      <family val="1"/>
    </font>
    <font>
      <b/>
      <sz val="10"/>
      <color indexed="12"/>
      <name val="Arial"/>
      <family val="2"/>
    </font>
    <font>
      <b/>
      <sz val="10"/>
      <color indexed="10"/>
      <name val="Arial"/>
      <family val="2"/>
    </font>
    <font>
      <sz val="9"/>
      <name val="Times New Roman"/>
      <family val="1"/>
    </font>
    <font>
      <b/>
      <u val="single"/>
      <sz val="10"/>
      <name val="Arial"/>
      <family val="2"/>
    </font>
    <font>
      <b/>
      <u val="single"/>
      <sz val="12"/>
      <name val="Arial"/>
      <family val="2"/>
    </font>
  </fonts>
  <fills count="15">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14"/>
        <bgColor indexed="64"/>
      </patternFill>
    </fill>
  </fills>
  <borders count="56">
    <border>
      <left/>
      <right/>
      <top/>
      <bottom/>
      <diagonal/>
    </border>
    <border>
      <left style="thin"/>
      <right style="thin"/>
      <top style="thick"/>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style="double"/>
      <top style="thin"/>
      <bottom style="double"/>
    </border>
    <border>
      <left>
        <color indexed="63"/>
      </left>
      <right>
        <color indexed="63"/>
      </right>
      <top style="thick"/>
      <bottom style="medium"/>
    </border>
    <border>
      <left style="thick"/>
      <right>
        <color indexed="63"/>
      </right>
      <top>
        <color indexed="63"/>
      </top>
      <bottom>
        <color indexed="63"/>
      </bottom>
    </border>
    <border>
      <left style="thin"/>
      <right>
        <color indexed="63"/>
      </right>
      <top style="thick"/>
      <bottom style="thin"/>
    </border>
    <border>
      <left>
        <color indexed="63"/>
      </left>
      <right>
        <color indexed="63"/>
      </right>
      <top style="medium"/>
      <bottom style="thin"/>
    </border>
    <border>
      <left>
        <color indexed="63"/>
      </left>
      <right style="thick"/>
      <top style="medium"/>
      <bottom style="thin"/>
    </border>
    <border>
      <left>
        <color indexed="63"/>
      </left>
      <right>
        <color indexed="63"/>
      </right>
      <top style="thin"/>
      <bottom style="thick"/>
    </border>
    <border>
      <left>
        <color indexed="63"/>
      </left>
      <right style="thick"/>
      <top style="thin"/>
      <bottom style="thick"/>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thin"/>
      <right style="thin"/>
      <top style="thin"/>
      <bottom style="double"/>
    </border>
    <border>
      <left style="thin"/>
      <right>
        <color indexed="63"/>
      </right>
      <top>
        <color indexed="63"/>
      </top>
      <bottom style="thin"/>
    </border>
    <border>
      <left style="thin"/>
      <right>
        <color indexed="63"/>
      </right>
      <top style="thin"/>
      <bottom style="thin"/>
    </border>
    <border>
      <left style="thick"/>
      <right>
        <color indexed="63"/>
      </right>
      <top style="thin"/>
      <bottom style="thin"/>
    </border>
    <border>
      <left style="thin"/>
      <right style="thin"/>
      <top style="thin"/>
      <bottom>
        <color indexed="63"/>
      </bottom>
    </border>
    <border>
      <left style="thin"/>
      <right>
        <color indexed="63"/>
      </right>
      <top style="thin"/>
      <bottom>
        <color indexed="63"/>
      </bottom>
    </border>
    <border>
      <left style="thick"/>
      <right>
        <color indexed="63"/>
      </right>
      <top style="thin"/>
      <bottom style="thick"/>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ck"/>
      <bottom style="thin"/>
    </border>
    <border>
      <left style="thin"/>
      <right style="thick"/>
      <top style="thick"/>
      <bottom style="thin"/>
    </border>
    <border>
      <left style="thin"/>
      <right style="thick"/>
      <top style="thin"/>
      <bottom style="thin"/>
    </border>
    <border>
      <left>
        <color indexed="63"/>
      </left>
      <right style="thin"/>
      <top style="thin"/>
      <bottom style="thin"/>
    </border>
    <border>
      <left style="thick"/>
      <right>
        <color indexed="63"/>
      </right>
      <top style="thin"/>
      <bottom>
        <color indexed="63"/>
      </bottom>
    </border>
    <border>
      <left>
        <color indexed="63"/>
      </left>
      <right style="thin"/>
      <top style="thin"/>
      <bottom>
        <color indexed="63"/>
      </bottom>
    </border>
    <border>
      <left>
        <color indexed="63"/>
      </left>
      <right>
        <color indexed="63"/>
      </right>
      <top style="thick"/>
      <bottom>
        <color indexed="63"/>
      </bottom>
    </border>
    <border>
      <left style="double"/>
      <right style="thin"/>
      <top style="double"/>
      <bottom style="thin"/>
    </border>
    <border>
      <left style="thin"/>
      <right style="thin"/>
      <top style="double"/>
      <bottom style="thin"/>
    </border>
    <border>
      <left style="double"/>
      <right style="thin"/>
      <top style="thin"/>
      <bottom style="double"/>
    </border>
    <border>
      <left style="double"/>
      <right style="thin"/>
      <top style="thin"/>
      <bottom style="thin"/>
    </border>
    <border>
      <left>
        <color indexed="63"/>
      </left>
      <right>
        <color indexed="63"/>
      </right>
      <top style="thin"/>
      <bottom>
        <color indexed="63"/>
      </bottom>
    </border>
    <border>
      <left style="thin"/>
      <right style="double"/>
      <top style="double"/>
      <bottom style="thin"/>
    </border>
    <border>
      <left>
        <color indexed="63"/>
      </left>
      <right>
        <color indexed="63"/>
      </right>
      <top>
        <color indexed="63"/>
      </top>
      <bottom style="thick"/>
    </border>
    <border>
      <left style="thin"/>
      <right style="thin"/>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thick"/>
      <bottom style="medium"/>
    </border>
    <border>
      <left style="thick"/>
      <right>
        <color indexed="63"/>
      </right>
      <top style="medium"/>
      <bottom style="thin"/>
    </border>
    <border>
      <left>
        <color indexed="63"/>
      </left>
      <right style="thick"/>
      <top style="thick"/>
      <bottom>
        <color indexed="63"/>
      </bottom>
    </border>
    <border>
      <left>
        <color indexed="63"/>
      </left>
      <right>
        <color indexed="63"/>
      </right>
      <top>
        <color indexed="63"/>
      </top>
      <bottom style="thin"/>
    </border>
    <border>
      <left style="thick"/>
      <right style="thin"/>
      <top style="thick"/>
      <bottom style="thin"/>
    </border>
    <border>
      <left>
        <color indexed="63"/>
      </left>
      <right style="thin"/>
      <top style="thin"/>
      <bottom style="thick"/>
    </border>
    <border>
      <left style="thick"/>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17">
    <xf numFmtId="0" fontId="0" fillId="0" borderId="0" xfId="0" applyAlignment="1">
      <alignment/>
    </xf>
    <xf numFmtId="0" fontId="6" fillId="2" borderId="0" xfId="22" applyFill="1">
      <alignment/>
      <protection/>
    </xf>
    <xf numFmtId="0" fontId="6" fillId="0" borderId="0" xfId="22">
      <alignment/>
      <protection/>
    </xf>
    <xf numFmtId="0" fontId="8" fillId="0" borderId="0" xfId="0" applyFont="1" applyAlignment="1">
      <alignment/>
    </xf>
    <xf numFmtId="0" fontId="13" fillId="0" borderId="0" xfId="0" applyFont="1" applyAlignment="1">
      <alignment/>
    </xf>
    <xf numFmtId="0" fontId="0" fillId="3" borderId="0" xfId="0" applyFill="1" applyAlignment="1">
      <alignment/>
    </xf>
    <xf numFmtId="0" fontId="8" fillId="3" borderId="0" xfId="0" applyFont="1" applyFill="1" applyAlignment="1">
      <alignment/>
    </xf>
    <xf numFmtId="0" fontId="8" fillId="3" borderId="0" xfId="0" applyFont="1" applyFill="1" applyAlignment="1">
      <alignment horizontal="center"/>
    </xf>
    <xf numFmtId="0" fontId="11" fillId="0" borderId="0" xfId="0" applyFont="1" applyAlignment="1">
      <alignment/>
    </xf>
    <xf numFmtId="0" fontId="0" fillId="0" borderId="0" xfId="0" applyFont="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4" borderId="0" xfId="0" applyFill="1" applyAlignment="1">
      <alignment/>
    </xf>
    <xf numFmtId="0" fontId="0" fillId="4" borderId="0" xfId="0" applyFill="1" applyAlignment="1">
      <alignment horizontal="centerContinuous"/>
    </xf>
    <xf numFmtId="0" fontId="9" fillId="4" borderId="0" xfId="0" applyNumberFormat="1" applyFont="1" applyFill="1" applyAlignment="1">
      <alignment/>
    </xf>
    <xf numFmtId="0" fontId="8" fillId="4" borderId="0" xfId="0" applyFont="1" applyFill="1" applyAlignment="1">
      <alignment/>
    </xf>
    <xf numFmtId="0" fontId="1" fillId="4" borderId="3" xfId="0" applyFont="1" applyFill="1" applyBorder="1" applyAlignment="1">
      <alignment horizontal="center"/>
    </xf>
    <xf numFmtId="0" fontId="0" fillId="4" borderId="4" xfId="0" applyFill="1" applyBorder="1" applyAlignment="1">
      <alignment horizontal="center"/>
    </xf>
    <xf numFmtId="0" fontId="11" fillId="5" borderId="0" xfId="0" applyFont="1" applyFill="1" applyAlignment="1">
      <alignment horizontal="centerContinuous"/>
    </xf>
    <xf numFmtId="0" fontId="0" fillId="5" borderId="4" xfId="0" applyFill="1" applyBorder="1" applyAlignment="1">
      <alignment horizontal="center"/>
    </xf>
    <xf numFmtId="0" fontId="0" fillId="5" borderId="0" xfId="0" applyFill="1" applyAlignment="1">
      <alignment/>
    </xf>
    <xf numFmtId="0" fontId="0" fillId="5" borderId="0" xfId="0" applyFont="1" applyFill="1" applyAlignment="1">
      <alignment/>
    </xf>
    <xf numFmtId="0" fontId="0" fillId="5" borderId="0" xfId="0" applyFill="1" applyAlignment="1">
      <alignment horizontal="center"/>
    </xf>
    <xf numFmtId="0" fontId="1" fillId="2" borderId="3" xfId="0" applyFont="1" applyFill="1" applyBorder="1" applyAlignment="1">
      <alignment horizontal="center"/>
    </xf>
    <xf numFmtId="0" fontId="1" fillId="5" borderId="4" xfId="0" applyFont="1" applyFill="1" applyBorder="1" applyAlignment="1">
      <alignment horizontal="center"/>
    </xf>
    <xf numFmtId="0" fontId="1" fillId="5" borderId="3" xfId="0" applyFont="1" applyFill="1" applyBorder="1" applyAlignment="1">
      <alignment horizontal="center"/>
    </xf>
    <xf numFmtId="0" fontId="1" fillId="2" borderId="3" xfId="0" applyFont="1" applyFill="1" applyBorder="1" applyAlignment="1">
      <alignment/>
    </xf>
    <xf numFmtId="0" fontId="1" fillId="2" borderId="2" xfId="0" applyFont="1" applyFill="1" applyBorder="1" applyAlignment="1">
      <alignment/>
    </xf>
    <xf numFmtId="0" fontId="0" fillId="6" borderId="0" xfId="0" applyFill="1" applyAlignment="1">
      <alignment/>
    </xf>
    <xf numFmtId="0" fontId="0" fillId="6" borderId="0" xfId="0" applyFont="1" applyFill="1" applyAlignment="1">
      <alignment/>
    </xf>
    <xf numFmtId="0" fontId="12" fillId="6" borderId="0" xfId="0" applyFont="1" applyFill="1" applyAlignment="1">
      <alignment horizontal="centerContinuous"/>
    </xf>
    <xf numFmtId="0" fontId="1" fillId="6" borderId="0" xfId="0" applyFont="1" applyFill="1" applyAlignment="1">
      <alignment horizontal="centerContinuous"/>
    </xf>
    <xf numFmtId="0" fontId="1" fillId="6" borderId="5" xfId="0" applyFont="1" applyFill="1" applyBorder="1" applyAlignment="1">
      <alignment horizontal="center"/>
    </xf>
    <xf numFmtId="0" fontId="1" fillId="6" borderId="3" xfId="0" applyFont="1" applyFill="1" applyBorder="1" applyAlignment="1">
      <alignment horizontal="center"/>
    </xf>
    <xf numFmtId="0" fontId="13" fillId="6" borderId="0" xfId="0" applyFont="1" applyFill="1" applyAlignment="1">
      <alignment/>
    </xf>
    <xf numFmtId="0" fontId="1" fillId="6" borderId="2" xfId="0" applyFont="1" applyFill="1" applyBorder="1" applyAlignment="1">
      <alignment horizontal="center"/>
    </xf>
    <xf numFmtId="0" fontId="0" fillId="6" borderId="4" xfId="0" applyFont="1" applyFill="1" applyBorder="1" applyAlignment="1">
      <alignment horizontal="center"/>
    </xf>
    <xf numFmtId="0" fontId="8" fillId="6" borderId="0" xfId="0" applyFont="1" applyFill="1" applyAlignment="1">
      <alignment/>
    </xf>
    <xf numFmtId="0" fontId="0" fillId="6" borderId="6" xfId="0" applyFill="1" applyBorder="1" applyAlignment="1">
      <alignment horizontal="center"/>
    </xf>
    <xf numFmtId="0" fontId="0" fillId="7" borderId="0" xfId="0" applyFill="1" applyAlignment="1">
      <alignment/>
    </xf>
    <xf numFmtId="0" fontId="0" fillId="7" borderId="0" xfId="0" applyFill="1" applyAlignment="1">
      <alignment horizontal="center"/>
    </xf>
    <xf numFmtId="0" fontId="0" fillId="7" borderId="0" xfId="0" applyFill="1" applyAlignment="1">
      <alignment horizontal="centerContinuous"/>
    </xf>
    <xf numFmtId="0" fontId="0" fillId="7" borderId="2" xfId="0" applyFill="1" applyBorder="1" applyAlignment="1">
      <alignment horizontal="center"/>
    </xf>
    <xf numFmtId="0" fontId="1" fillId="7" borderId="2" xfId="0" applyFont="1" applyFill="1" applyBorder="1" applyAlignment="1">
      <alignment horizontal="center"/>
    </xf>
    <xf numFmtId="0" fontId="0" fillId="8" borderId="2" xfId="0" applyFill="1" applyBorder="1" applyAlignment="1">
      <alignment horizontal="center"/>
    </xf>
    <xf numFmtId="0" fontId="0" fillId="9" borderId="0" xfId="0" applyFill="1" applyAlignment="1">
      <alignment/>
    </xf>
    <xf numFmtId="0" fontId="10" fillId="9" borderId="0" xfId="0" applyFont="1" applyFill="1" applyAlignment="1">
      <alignment horizontal="center"/>
    </xf>
    <xf numFmtId="0" fontId="0" fillId="9" borderId="4" xfId="0" applyFill="1" applyBorder="1" applyAlignment="1">
      <alignment horizontal="center"/>
    </xf>
    <xf numFmtId="0" fontId="1" fillId="9" borderId="3" xfId="0" applyFont="1" applyFill="1" applyBorder="1" applyAlignment="1">
      <alignment horizontal="center"/>
    </xf>
    <xf numFmtId="0" fontId="0" fillId="3" borderId="0" xfId="0" applyFont="1" applyFill="1" applyAlignment="1">
      <alignment/>
    </xf>
    <xf numFmtId="0" fontId="0" fillId="10" borderId="0" xfId="0" applyFont="1" applyFill="1" applyAlignment="1">
      <alignment/>
    </xf>
    <xf numFmtId="0" fontId="0" fillId="10" borderId="0" xfId="0" applyFont="1" applyFill="1" applyAlignment="1">
      <alignment horizontal="center"/>
    </xf>
    <xf numFmtId="0" fontId="0" fillId="10" borderId="0" xfId="0" applyFill="1" applyAlignment="1">
      <alignment horizontal="center"/>
    </xf>
    <xf numFmtId="0" fontId="0" fillId="10" borderId="0" xfId="0" applyFill="1" applyAlignment="1">
      <alignment/>
    </xf>
    <xf numFmtId="0" fontId="13" fillId="10" borderId="0" xfId="0" applyFont="1" applyFill="1" applyAlignment="1">
      <alignment horizontal="centerContinuous"/>
    </xf>
    <xf numFmtId="0" fontId="13" fillId="10" borderId="0" xfId="0" applyFont="1" applyFill="1" applyAlignment="1">
      <alignment/>
    </xf>
    <xf numFmtId="0" fontId="0" fillId="10" borderId="0" xfId="0" applyFill="1" applyAlignment="1">
      <alignment/>
    </xf>
    <xf numFmtId="0" fontId="0" fillId="10" borderId="1" xfId="0" applyFill="1" applyBorder="1" applyAlignment="1">
      <alignment horizontal="center"/>
    </xf>
    <xf numFmtId="0" fontId="0" fillId="10" borderId="2" xfId="0" applyFill="1" applyBorder="1" applyAlignment="1">
      <alignment horizontal="center"/>
    </xf>
    <xf numFmtId="0" fontId="0" fillId="10" borderId="2" xfId="0" applyFont="1" applyFill="1" applyBorder="1" applyAlignment="1">
      <alignment horizontal="center"/>
    </xf>
    <xf numFmtId="0" fontId="0" fillId="10" borderId="7" xfId="0" applyFont="1" applyFill="1" applyBorder="1" applyAlignment="1">
      <alignment horizontal="center"/>
    </xf>
    <xf numFmtId="0" fontId="13" fillId="10" borderId="0" xfId="0" applyFont="1" applyFill="1" applyAlignment="1">
      <alignment horizontal="center"/>
    </xf>
    <xf numFmtId="0" fontId="13" fillId="10" borderId="0" xfId="0" applyFont="1" applyFill="1" applyAlignment="1">
      <alignment/>
    </xf>
    <xf numFmtId="0" fontId="8" fillId="10" borderId="0" xfId="0" applyFont="1" applyFill="1" applyAlignment="1">
      <alignment/>
    </xf>
    <xf numFmtId="0" fontId="8" fillId="10" borderId="0" xfId="0" applyFont="1" applyFill="1" applyBorder="1" applyAlignment="1">
      <alignment/>
    </xf>
    <xf numFmtId="0" fontId="0" fillId="10" borderId="6" xfId="0" applyFill="1" applyBorder="1" applyAlignment="1">
      <alignment horizontal="center"/>
    </xf>
    <xf numFmtId="0" fontId="0" fillId="10" borderId="8" xfId="0" applyFont="1" applyFill="1" applyBorder="1" applyAlignment="1">
      <alignment horizontal="center"/>
    </xf>
    <xf numFmtId="0" fontId="0" fillId="10" borderId="0" xfId="0" applyFont="1" applyFill="1" applyBorder="1" applyAlignment="1">
      <alignment/>
    </xf>
    <xf numFmtId="0" fontId="0" fillId="10" borderId="9" xfId="0" applyFill="1" applyBorder="1" applyAlignment="1">
      <alignment horizontal="center"/>
    </xf>
    <xf numFmtId="0" fontId="13" fillId="10" borderId="10" xfId="0" applyFont="1" applyFill="1" applyBorder="1" applyAlignment="1">
      <alignment/>
    </xf>
    <xf numFmtId="0" fontId="13" fillId="10" borderId="0" xfId="0" applyFont="1" applyFill="1" applyBorder="1" applyAlignment="1">
      <alignment/>
    </xf>
    <xf numFmtId="0" fontId="8" fillId="10" borderId="0" xfId="0" applyFont="1" applyFill="1" applyAlignment="1">
      <alignment horizontal="center"/>
    </xf>
    <xf numFmtId="0" fontId="14" fillId="10" borderId="0" xfId="0" applyFont="1" applyFill="1" applyBorder="1" applyAlignment="1">
      <alignment/>
    </xf>
    <xf numFmtId="0" fontId="0" fillId="10" borderId="11" xfId="0" applyFill="1" applyBorder="1" applyAlignment="1">
      <alignment horizontal="center"/>
    </xf>
    <xf numFmtId="0" fontId="0" fillId="10" borderId="0" xfId="0" applyFont="1" applyFill="1" applyAlignment="1">
      <alignment/>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14" xfId="0" applyFont="1" applyFill="1" applyBorder="1" applyAlignment="1">
      <alignment horizontal="center"/>
    </xf>
    <xf numFmtId="0" fontId="1" fillId="10" borderId="15" xfId="0" applyFont="1" applyFill="1" applyBorder="1" applyAlignment="1">
      <alignment horizontal="center"/>
    </xf>
    <xf numFmtId="0" fontId="1" fillId="10" borderId="6" xfId="0" applyFont="1" applyFill="1" applyBorder="1" applyAlignment="1">
      <alignment horizontal="center"/>
    </xf>
    <xf numFmtId="0" fontId="0" fillId="9" borderId="7" xfId="0" applyFill="1" applyBorder="1" applyAlignment="1">
      <alignment horizontal="center"/>
    </xf>
    <xf numFmtId="0" fontId="0" fillId="9" borderId="8"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11" fillId="3" borderId="0" xfId="0" applyFont="1" applyFill="1" applyAlignment="1">
      <alignment horizontal="centerContinuous"/>
    </xf>
    <xf numFmtId="0" fontId="11" fillId="3" borderId="0" xfId="0" applyFont="1" applyFill="1" applyAlignment="1">
      <alignment/>
    </xf>
    <xf numFmtId="0" fontId="1" fillId="3" borderId="3" xfId="0" applyFont="1" applyFill="1" applyBorder="1" applyAlignment="1">
      <alignment horizontal="center"/>
    </xf>
    <xf numFmtId="0" fontId="0" fillId="3" borderId="4" xfId="0" applyFont="1" applyFill="1" applyBorder="1" applyAlignment="1">
      <alignment horizontal="center"/>
    </xf>
    <xf numFmtId="0" fontId="0" fillId="3" borderId="6" xfId="0" applyFill="1" applyBorder="1" applyAlignment="1">
      <alignment horizontal="center"/>
    </xf>
    <xf numFmtId="0" fontId="0" fillId="3" borderId="0"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 xfId="0" applyFill="1" applyBorder="1" applyAlignment="1">
      <alignment horizontal="center"/>
    </xf>
    <xf numFmtId="0" fontId="0" fillId="3" borderId="19" xfId="0" applyFill="1" applyBorder="1" applyAlignment="1">
      <alignment horizontal="center"/>
    </xf>
    <xf numFmtId="0" fontId="0" fillId="3" borderId="7" xfId="0" applyFill="1" applyBorder="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11" borderId="0" xfId="0" applyFont="1" applyFill="1" applyAlignment="1">
      <alignment/>
    </xf>
    <xf numFmtId="0" fontId="0" fillId="11" borderId="0" xfId="0" applyFill="1" applyAlignment="1">
      <alignment/>
    </xf>
    <xf numFmtId="0" fontId="11" fillId="11" borderId="0" xfId="0" applyFont="1" applyFill="1" applyAlignment="1">
      <alignment horizontal="centerContinuous"/>
    </xf>
    <xf numFmtId="0" fontId="0" fillId="11" borderId="0" xfId="0" applyFill="1" applyAlignment="1">
      <alignment horizontal="centerContinuous"/>
    </xf>
    <xf numFmtId="0" fontId="0" fillId="11" borderId="0" xfId="0" applyFill="1" applyAlignment="1">
      <alignment horizontal="center"/>
    </xf>
    <xf numFmtId="0" fontId="0" fillId="11" borderId="3" xfId="0" applyFill="1" applyBorder="1" applyAlignment="1">
      <alignment horizontal="center"/>
    </xf>
    <xf numFmtId="0" fontId="0" fillId="11" borderId="20" xfId="0" applyFill="1" applyBorder="1" applyAlignment="1">
      <alignment horizontal="center"/>
    </xf>
    <xf numFmtId="0" fontId="0" fillId="11" borderId="2" xfId="0" applyFill="1" applyBorder="1" applyAlignment="1">
      <alignment horizontal="center"/>
    </xf>
    <xf numFmtId="0" fontId="0" fillId="11" borderId="21" xfId="0" applyFill="1" applyBorder="1" applyAlignment="1">
      <alignment horizontal="center"/>
    </xf>
    <xf numFmtId="0" fontId="0" fillId="11" borderId="22" xfId="0" applyFill="1" applyBorder="1" applyAlignment="1">
      <alignment horizontal="center"/>
    </xf>
    <xf numFmtId="0" fontId="0" fillId="11" borderId="0" xfId="0" applyFont="1" applyFill="1" applyAlignment="1">
      <alignment horizontal="left"/>
    </xf>
    <xf numFmtId="0" fontId="0" fillId="11" borderId="0" xfId="0" applyFont="1" applyFill="1" applyAlignment="1">
      <alignment horizontal="centerContinuous"/>
    </xf>
    <xf numFmtId="0" fontId="0" fillId="11" borderId="1" xfId="0" applyFill="1" applyBorder="1" applyAlignment="1">
      <alignment horizontal="center"/>
    </xf>
    <xf numFmtId="0" fontId="0" fillId="11" borderId="11" xfId="0" applyFill="1" applyBorder="1" applyAlignment="1">
      <alignment horizontal="center"/>
    </xf>
    <xf numFmtId="0" fontId="0" fillId="11" borderId="22" xfId="0" applyFont="1" applyFill="1" applyBorder="1" applyAlignment="1">
      <alignment horizontal="center"/>
    </xf>
    <xf numFmtId="0" fontId="0" fillId="11" borderId="23" xfId="0" applyFill="1" applyBorder="1" applyAlignment="1">
      <alignment horizontal="center"/>
    </xf>
    <xf numFmtId="0" fontId="0" fillId="11" borderId="24" xfId="0" applyFill="1" applyBorder="1" applyAlignment="1">
      <alignment horizontal="center"/>
    </xf>
    <xf numFmtId="0" fontId="0" fillId="11" borderId="25" xfId="0" applyFont="1" applyFill="1" applyBorder="1" applyAlignment="1">
      <alignment horizontal="center"/>
    </xf>
    <xf numFmtId="0" fontId="0" fillId="11" borderId="26" xfId="0" applyFill="1" applyBorder="1" applyAlignment="1">
      <alignment horizontal="center"/>
    </xf>
    <xf numFmtId="0" fontId="8" fillId="11" borderId="0" xfId="0" applyFont="1" applyFill="1" applyAlignment="1">
      <alignment/>
    </xf>
    <xf numFmtId="0" fontId="13" fillId="11" borderId="0" xfId="0" applyFont="1" applyFill="1" applyAlignment="1">
      <alignment/>
    </xf>
    <xf numFmtId="0" fontId="0" fillId="11" borderId="27" xfId="0" applyFill="1" applyBorder="1" applyAlignment="1">
      <alignment horizontal="center"/>
    </xf>
    <xf numFmtId="0" fontId="0" fillId="11" borderId="28" xfId="0" applyFill="1" applyBorder="1" applyAlignment="1">
      <alignment horizontal="center"/>
    </xf>
    <xf numFmtId="0" fontId="0" fillId="12" borderId="0" xfId="0" applyFill="1" applyAlignment="1">
      <alignment/>
    </xf>
    <xf numFmtId="0" fontId="8" fillId="12" borderId="0" xfId="0" applyFont="1" applyFill="1" applyAlignment="1">
      <alignment horizontal="centerContinuous"/>
    </xf>
    <xf numFmtId="0" fontId="0" fillId="12" borderId="0" xfId="0" applyFont="1" applyFill="1" applyAlignment="1">
      <alignment/>
    </xf>
    <xf numFmtId="0" fontId="8" fillId="12" borderId="0" xfId="0" applyFont="1" applyFill="1" applyAlignment="1">
      <alignment/>
    </xf>
    <xf numFmtId="0" fontId="1" fillId="12" borderId="1" xfId="0" applyFont="1" applyFill="1" applyBorder="1" applyAlignment="1">
      <alignment horizontal="center"/>
    </xf>
    <xf numFmtId="0" fontId="0" fillId="12" borderId="0" xfId="0" applyFill="1" applyAlignment="1">
      <alignment horizontal="center"/>
    </xf>
    <xf numFmtId="0" fontId="1" fillId="12" borderId="2" xfId="0" applyFont="1" applyFill="1" applyBorder="1" applyAlignment="1">
      <alignment horizontal="center"/>
    </xf>
    <xf numFmtId="0" fontId="0" fillId="12" borderId="4" xfId="0" applyFont="1" applyFill="1" applyBorder="1" applyAlignment="1">
      <alignment horizontal="center"/>
    </xf>
    <xf numFmtId="2" fontId="0" fillId="12" borderId="4" xfId="0" applyNumberFormat="1" applyFont="1" applyFill="1" applyBorder="1" applyAlignment="1">
      <alignment horizontal="center"/>
    </xf>
    <xf numFmtId="0" fontId="0" fillId="12" borderId="1" xfId="0" applyFill="1" applyBorder="1" applyAlignment="1">
      <alignment horizontal="center"/>
    </xf>
    <xf numFmtId="0" fontId="0" fillId="12" borderId="29" xfId="0" applyFill="1" applyBorder="1" applyAlignment="1">
      <alignment horizontal="center"/>
    </xf>
    <xf numFmtId="0" fontId="0" fillId="12" borderId="2" xfId="0" applyFill="1" applyBorder="1" applyAlignment="1">
      <alignment horizontal="center"/>
    </xf>
    <xf numFmtId="0" fontId="0" fillId="12" borderId="30" xfId="0" applyFill="1" applyBorder="1" applyAlignment="1">
      <alignment horizontal="center"/>
    </xf>
    <xf numFmtId="0" fontId="0" fillId="12" borderId="22" xfId="0" applyFill="1" applyBorder="1" applyAlignment="1">
      <alignment horizontal="center"/>
    </xf>
    <xf numFmtId="0" fontId="0" fillId="12" borderId="6" xfId="0" applyFill="1" applyBorder="1" applyAlignment="1">
      <alignment horizontal="center"/>
    </xf>
    <xf numFmtId="0" fontId="1" fillId="8" borderId="2" xfId="0" applyFont="1" applyFill="1" applyBorder="1" applyAlignment="1">
      <alignment horizontal="center"/>
    </xf>
    <xf numFmtId="0" fontId="0" fillId="12" borderId="31" xfId="0" applyFill="1" applyBorder="1" applyAlignment="1">
      <alignment horizontal="center"/>
    </xf>
    <xf numFmtId="0" fontId="13" fillId="12" borderId="0" xfId="0" applyFont="1" applyFill="1" applyAlignment="1">
      <alignment/>
    </xf>
    <xf numFmtId="0" fontId="0" fillId="12" borderId="11" xfId="0" applyFill="1" applyBorder="1" applyAlignment="1">
      <alignment horizontal="center"/>
    </xf>
    <xf numFmtId="0" fontId="0" fillId="12" borderId="21" xfId="0" applyFill="1" applyBorder="1" applyAlignment="1">
      <alignment horizontal="center"/>
    </xf>
    <xf numFmtId="0" fontId="0" fillId="12" borderId="23" xfId="0" applyFill="1" applyBorder="1" applyAlignment="1">
      <alignment horizontal="center"/>
    </xf>
    <xf numFmtId="0" fontId="0" fillId="12" borderId="24" xfId="0" applyFill="1" applyBorder="1" applyAlignment="1">
      <alignment horizontal="center"/>
    </xf>
    <xf numFmtId="0" fontId="0" fillId="12" borderId="32" xfId="0" applyFill="1" applyBorder="1" applyAlignment="1">
      <alignment horizontal="center"/>
    </xf>
    <xf numFmtId="0" fontId="0" fillId="12" borderId="33" xfId="0" applyFill="1" applyBorder="1" applyAlignment="1">
      <alignment horizontal="center"/>
    </xf>
    <xf numFmtId="0" fontId="0" fillId="12" borderId="27" xfId="0" applyFill="1" applyBorder="1" applyAlignment="1">
      <alignment horizontal="center"/>
    </xf>
    <xf numFmtId="0" fontId="0" fillId="12" borderId="28" xfId="0" applyFill="1" applyBorder="1" applyAlignment="1">
      <alignment horizontal="center"/>
    </xf>
    <xf numFmtId="0" fontId="0" fillId="12" borderId="34" xfId="0" applyFill="1" applyBorder="1" applyAlignment="1">
      <alignment horizontal="center"/>
    </xf>
    <xf numFmtId="0" fontId="0" fillId="13" borderId="0" xfId="0" applyFill="1" applyAlignment="1">
      <alignment/>
    </xf>
    <xf numFmtId="0" fontId="0" fillId="13" borderId="0" xfId="0" applyFont="1" applyFill="1" applyAlignment="1">
      <alignment/>
    </xf>
    <xf numFmtId="0" fontId="0" fillId="13" borderId="4" xfId="0" applyFont="1" applyFill="1" applyBorder="1" applyAlignment="1">
      <alignment horizontal="center"/>
    </xf>
    <xf numFmtId="0" fontId="8" fillId="13" borderId="0" xfId="0" applyFont="1" applyFill="1" applyAlignment="1">
      <alignment horizontal="centerContinuous"/>
    </xf>
    <xf numFmtId="0" fontId="8" fillId="13" borderId="0" xfId="0" applyFont="1" applyFill="1" applyAlignment="1">
      <alignment/>
    </xf>
    <xf numFmtId="0" fontId="8" fillId="13" borderId="0" xfId="0" applyFont="1" applyFill="1" applyAlignment="1">
      <alignment horizontal="center"/>
    </xf>
    <xf numFmtId="2" fontId="8" fillId="13" borderId="0" xfId="0" applyNumberFormat="1" applyFont="1" applyFill="1" applyAlignment="1">
      <alignment/>
    </xf>
    <xf numFmtId="2" fontId="0" fillId="13" borderId="4" xfId="0" applyNumberFormat="1" applyFont="1" applyFill="1" applyBorder="1" applyAlignment="1">
      <alignment horizontal="center"/>
    </xf>
    <xf numFmtId="0" fontId="13" fillId="13" borderId="0" xfId="0" applyFont="1" applyFill="1" applyAlignment="1">
      <alignment/>
    </xf>
    <xf numFmtId="0" fontId="0" fillId="4" borderId="4" xfId="0" applyFont="1" applyFill="1" applyBorder="1" applyAlignment="1">
      <alignment horizontal="center"/>
    </xf>
    <xf numFmtId="0" fontId="1" fillId="7" borderId="0" xfId="0" applyFont="1" applyFill="1" applyAlignment="1">
      <alignment horizontal="center"/>
    </xf>
    <xf numFmtId="0" fontId="1" fillId="12" borderId="3" xfId="0" applyFont="1" applyFill="1" applyBorder="1" applyAlignment="1">
      <alignment horizontal="center"/>
    </xf>
    <xf numFmtId="0" fontId="1" fillId="13" borderId="1" xfId="0" applyFont="1" applyFill="1" applyBorder="1" applyAlignment="1">
      <alignment horizontal="center"/>
    </xf>
    <xf numFmtId="0" fontId="0" fillId="8" borderId="0" xfId="0" applyFill="1" applyAlignment="1">
      <alignment/>
    </xf>
    <xf numFmtId="0" fontId="10" fillId="8" borderId="0" xfId="0" applyFont="1" applyFill="1" applyAlignment="1">
      <alignment horizontal="center"/>
    </xf>
    <xf numFmtId="0" fontId="1" fillId="8" borderId="3" xfId="0" applyFont="1" applyFill="1" applyBorder="1" applyAlignment="1">
      <alignment horizontal="center"/>
    </xf>
    <xf numFmtId="0" fontId="8" fillId="8" borderId="0" xfId="0" applyFont="1" applyFill="1" applyAlignment="1">
      <alignment horizontal="centerContinuous"/>
    </xf>
    <xf numFmtId="0" fontId="0" fillId="8" borderId="4" xfId="0" applyFont="1" applyFill="1" applyBorder="1" applyAlignment="1">
      <alignment horizontal="center"/>
    </xf>
    <xf numFmtId="0" fontId="8" fillId="8" borderId="0" xfId="0" applyFont="1" applyFill="1" applyAlignment="1">
      <alignment/>
    </xf>
    <xf numFmtId="1" fontId="0" fillId="8" borderId="4" xfId="0" applyNumberFormat="1" applyFont="1" applyFill="1" applyBorder="1" applyAlignment="1">
      <alignment horizontal="center"/>
    </xf>
    <xf numFmtId="0" fontId="0" fillId="8" borderId="1" xfId="0" applyFill="1" applyBorder="1" applyAlignment="1">
      <alignment/>
    </xf>
    <xf numFmtId="0" fontId="0" fillId="8" borderId="2" xfId="0" applyFill="1" applyBorder="1" applyAlignment="1">
      <alignment/>
    </xf>
    <xf numFmtId="0" fontId="1" fillId="8" borderId="0" xfId="0" applyFont="1" applyFill="1" applyAlignment="1">
      <alignment/>
    </xf>
    <xf numFmtId="0" fontId="0" fillId="8" borderId="0" xfId="0" applyFill="1" applyAlignment="1">
      <alignment/>
    </xf>
    <xf numFmtId="0" fontId="0" fillId="9" borderId="35" xfId="0" applyFill="1" applyBorder="1" applyAlignment="1">
      <alignment horizontal="center"/>
    </xf>
    <xf numFmtId="0" fontId="0" fillId="9" borderId="36" xfId="0" applyFill="1" applyBorder="1" applyAlignment="1">
      <alignment horizontal="center"/>
    </xf>
    <xf numFmtId="0" fontId="0" fillId="7" borderId="2" xfId="0" applyFill="1" applyBorder="1" applyAlignment="1">
      <alignment horizontal="center"/>
    </xf>
    <xf numFmtId="0" fontId="0" fillId="7" borderId="37" xfId="0" applyFill="1" applyBorder="1" applyAlignment="1">
      <alignment horizontal="center"/>
    </xf>
    <xf numFmtId="0" fontId="0" fillId="7" borderId="19" xfId="0" applyFill="1" applyBorder="1" applyAlignment="1">
      <alignment horizontal="center"/>
    </xf>
    <xf numFmtId="0" fontId="0" fillId="9" borderId="38" xfId="0" applyFill="1" applyBorder="1" applyAlignment="1">
      <alignment horizontal="center"/>
    </xf>
    <xf numFmtId="0" fontId="0" fillId="9" borderId="2" xfId="0" applyFill="1" applyBorder="1" applyAlignment="1">
      <alignment horizontal="center"/>
    </xf>
    <xf numFmtId="0" fontId="0" fillId="9" borderId="37" xfId="0" applyFill="1" applyBorder="1" applyAlignment="1">
      <alignment horizontal="center"/>
    </xf>
    <xf numFmtId="0" fontId="0" fillId="9" borderId="19" xfId="0" applyFill="1" applyBorder="1" applyAlignment="1">
      <alignment horizontal="center"/>
    </xf>
    <xf numFmtId="0" fontId="1" fillId="7" borderId="2" xfId="0" applyFont="1" applyFill="1" applyBorder="1" applyAlignment="1">
      <alignment horizontal="center"/>
    </xf>
    <xf numFmtId="0" fontId="22" fillId="7" borderId="0" xfId="0" applyFont="1" applyFill="1" applyAlignment="1">
      <alignment horizontal="center"/>
    </xf>
    <xf numFmtId="0" fontId="22" fillId="7" borderId="39" xfId="0" applyFont="1" applyFill="1" applyBorder="1" applyAlignment="1">
      <alignment horizontal="center"/>
    </xf>
    <xf numFmtId="0" fontId="0" fillId="7" borderId="35" xfId="0" applyFill="1" applyBorder="1" applyAlignment="1">
      <alignment horizontal="center"/>
    </xf>
    <xf numFmtId="0" fontId="0" fillId="7" borderId="36" xfId="0" applyFill="1" applyBorder="1" applyAlignment="1">
      <alignment horizontal="center"/>
    </xf>
    <xf numFmtId="0" fontId="0" fillId="7" borderId="40" xfId="0" applyFill="1" applyBorder="1" applyAlignment="1">
      <alignment horizontal="center"/>
    </xf>
    <xf numFmtId="0" fontId="0" fillId="7" borderId="38" xfId="0" applyFill="1" applyBorder="1" applyAlignment="1">
      <alignment horizontal="center"/>
    </xf>
    <xf numFmtId="0" fontId="1" fillId="8" borderId="2" xfId="0" applyFont="1" applyFill="1" applyBorder="1" applyAlignment="1">
      <alignment horizontal="center"/>
    </xf>
    <xf numFmtId="0" fontId="0" fillId="7" borderId="21" xfId="0" applyFill="1" applyBorder="1" applyAlignment="1">
      <alignment horizontal="center"/>
    </xf>
    <xf numFmtId="0" fontId="0" fillId="7" borderId="6" xfId="0" applyFill="1" applyBorder="1" applyAlignment="1">
      <alignment horizontal="center"/>
    </xf>
    <xf numFmtId="0" fontId="0" fillId="7" borderId="31" xfId="0" applyFill="1" applyBorder="1" applyAlignment="1">
      <alignment horizontal="center"/>
    </xf>
    <xf numFmtId="0" fontId="1" fillId="7" borderId="24" xfId="0" applyFont="1" applyFill="1" applyBorder="1" applyAlignment="1">
      <alignment horizontal="center"/>
    </xf>
    <xf numFmtId="0" fontId="1" fillId="7" borderId="33" xfId="0" applyFont="1" applyFill="1" applyBorder="1" applyAlignment="1">
      <alignment horizontal="center"/>
    </xf>
    <xf numFmtId="0" fontId="1" fillId="7" borderId="26" xfId="0" applyFont="1" applyFill="1" applyBorder="1" applyAlignment="1">
      <alignment horizontal="center"/>
    </xf>
    <xf numFmtId="0" fontId="1" fillId="7" borderId="5" xfId="0" applyFont="1" applyFill="1" applyBorder="1" applyAlignment="1">
      <alignment horizontal="center"/>
    </xf>
    <xf numFmtId="0" fontId="1" fillId="8" borderId="23" xfId="0" applyFont="1" applyFill="1" applyBorder="1" applyAlignment="1">
      <alignment horizontal="center"/>
    </xf>
    <xf numFmtId="0" fontId="0" fillId="7" borderId="0" xfId="0" applyFill="1" applyAlignment="1">
      <alignment horizontal="left"/>
    </xf>
    <xf numFmtId="0" fontId="0" fillId="7" borderId="0" xfId="0" applyFill="1" applyAlignment="1">
      <alignment horizontal="center"/>
    </xf>
    <xf numFmtId="0" fontId="1" fillId="14" borderId="4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4" borderId="0" xfId="0" applyFill="1" applyAlignment="1">
      <alignment horizontal="left"/>
    </xf>
    <xf numFmtId="0" fontId="0" fillId="5" borderId="35" xfId="0" applyFont="1" applyFill="1" applyBorder="1" applyAlignment="1">
      <alignment horizontal="center"/>
    </xf>
    <xf numFmtId="0" fontId="0" fillId="5" borderId="36" xfId="0" applyFont="1" applyFill="1" applyBorder="1" applyAlignment="1">
      <alignment horizontal="center"/>
    </xf>
    <xf numFmtId="0" fontId="0" fillId="5" borderId="40" xfId="0" applyFont="1" applyFill="1" applyBorder="1" applyAlignment="1">
      <alignment horizontal="center"/>
    </xf>
    <xf numFmtId="0" fontId="0" fillId="5" borderId="0" xfId="0" applyFill="1" applyAlignment="1">
      <alignment horizontal="left"/>
    </xf>
    <xf numFmtId="0" fontId="0" fillId="5" borderId="38" xfId="0" applyFill="1" applyBorder="1" applyAlignment="1">
      <alignment horizontal="center"/>
    </xf>
    <xf numFmtId="0" fontId="0" fillId="5" borderId="2" xfId="0" applyFill="1" applyBorder="1" applyAlignment="1">
      <alignment horizontal="center"/>
    </xf>
    <xf numFmtId="0" fontId="0" fillId="5" borderId="37" xfId="0" applyFill="1" applyBorder="1" applyAlignment="1">
      <alignment horizontal="center"/>
    </xf>
    <xf numFmtId="0" fontId="0" fillId="5" borderId="19" xfId="0" applyFill="1" applyBorder="1" applyAlignment="1">
      <alignment horizontal="center"/>
    </xf>
    <xf numFmtId="0" fontId="1" fillId="14" borderId="42" xfId="0" applyFont="1" applyFill="1" applyBorder="1" applyAlignment="1">
      <alignment horizontal="center"/>
    </xf>
    <xf numFmtId="0" fontId="1" fillId="2" borderId="3" xfId="0" applyFont="1" applyFill="1" applyBorder="1" applyAlignment="1">
      <alignment horizontal="center"/>
    </xf>
    <xf numFmtId="0" fontId="0" fillId="6" borderId="21" xfId="0" applyFill="1" applyBorder="1" applyAlignment="1">
      <alignment horizontal="center"/>
    </xf>
    <xf numFmtId="0" fontId="0" fillId="6" borderId="6" xfId="0" applyFill="1" applyBorder="1" applyAlignment="1">
      <alignment horizontal="center"/>
    </xf>
    <xf numFmtId="0" fontId="0" fillId="6" borderId="31" xfId="0" applyFill="1" applyBorder="1" applyAlignment="1">
      <alignment horizontal="center"/>
    </xf>
    <xf numFmtId="0" fontId="1" fillId="6" borderId="4" xfId="0" applyFont="1" applyFill="1" applyBorder="1" applyAlignment="1">
      <alignment horizontal="center"/>
    </xf>
    <xf numFmtId="0" fontId="1" fillId="6" borderId="3" xfId="0" applyFont="1" applyFill="1" applyBorder="1" applyAlignment="1">
      <alignment horizontal="center"/>
    </xf>
    <xf numFmtId="0" fontId="0" fillId="9" borderId="40" xfId="0" applyFill="1" applyBorder="1" applyAlignment="1">
      <alignment horizontal="center"/>
    </xf>
    <xf numFmtId="0" fontId="1" fillId="3" borderId="35" xfId="0" applyFont="1" applyFill="1" applyBorder="1" applyAlignment="1">
      <alignment horizontal="center"/>
    </xf>
    <xf numFmtId="0" fontId="1" fillId="3" borderId="36" xfId="0" applyFont="1" applyFill="1" applyBorder="1" applyAlignment="1">
      <alignment horizontal="center"/>
    </xf>
    <xf numFmtId="0" fontId="1" fillId="3" borderId="38" xfId="0" applyFont="1" applyFill="1" applyBorder="1" applyAlignment="1">
      <alignment horizontal="center"/>
    </xf>
    <xf numFmtId="0" fontId="1" fillId="3" borderId="2" xfId="0" applyFont="1" applyFill="1" applyBorder="1" applyAlignment="1">
      <alignment horizontal="center"/>
    </xf>
    <xf numFmtId="0" fontId="0" fillId="3" borderId="38" xfId="0" applyFill="1" applyBorder="1" applyAlignment="1">
      <alignment horizontal="center"/>
    </xf>
    <xf numFmtId="0" fontId="0" fillId="3" borderId="2" xfId="0" applyFill="1" applyBorder="1" applyAlignment="1">
      <alignment horizontal="center"/>
    </xf>
    <xf numFmtId="0" fontId="0" fillId="3" borderId="21" xfId="0" applyFill="1" applyBorder="1" applyAlignment="1">
      <alignment horizontal="center"/>
    </xf>
    <xf numFmtId="0" fontId="0" fillId="3" borderId="31" xfId="0" applyFill="1" applyBorder="1" applyAlignment="1">
      <alignment horizontal="center"/>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3" borderId="45" xfId="0" applyFont="1" applyFill="1" applyBorder="1" applyAlignment="1">
      <alignment horizontal="center"/>
    </xf>
    <xf numFmtId="0" fontId="0" fillId="3" borderId="37" xfId="0" applyFill="1" applyBorder="1" applyAlignment="1">
      <alignment horizontal="center"/>
    </xf>
    <xf numFmtId="0" fontId="0" fillId="3" borderId="19" xfId="0" applyFill="1" applyBorder="1" applyAlignment="1">
      <alignment horizontal="center"/>
    </xf>
    <xf numFmtId="0" fontId="1" fillId="3" borderId="40" xfId="0" applyFont="1" applyFill="1" applyBorder="1" applyAlignment="1">
      <alignment horizontal="center"/>
    </xf>
    <xf numFmtId="0" fontId="1" fillId="3" borderId="41" xfId="0" applyFont="1" applyFill="1" applyBorder="1" applyAlignment="1">
      <alignment horizontal="center"/>
    </xf>
    <xf numFmtId="0" fontId="0" fillId="3" borderId="6" xfId="0" applyFill="1" applyBorder="1" applyAlignment="1">
      <alignment horizontal="center"/>
    </xf>
    <xf numFmtId="0" fontId="0" fillId="10" borderId="46" xfId="0" applyFont="1" applyFill="1" applyBorder="1" applyAlignment="1">
      <alignment horizontal="center"/>
    </xf>
    <xf numFmtId="0" fontId="0" fillId="10" borderId="47" xfId="0" applyFont="1" applyFill="1" applyBorder="1" applyAlignment="1">
      <alignment horizontal="center"/>
    </xf>
    <xf numFmtId="0" fontId="0" fillId="10" borderId="48" xfId="0" applyFont="1" applyFill="1" applyBorder="1" applyAlignment="1">
      <alignment horizontal="center"/>
    </xf>
    <xf numFmtId="0" fontId="0" fillId="10" borderId="49" xfId="0" applyFont="1" applyFill="1" applyBorder="1" applyAlignment="1">
      <alignment horizontal="center"/>
    </xf>
    <xf numFmtId="0" fontId="0" fillId="10" borderId="9" xfId="0" applyFont="1" applyFill="1" applyBorder="1" applyAlignment="1">
      <alignment horizontal="center"/>
    </xf>
    <xf numFmtId="0" fontId="1" fillId="10" borderId="50" xfId="0" applyFont="1" applyFill="1" applyBorder="1" applyAlignment="1">
      <alignment horizontal="center"/>
    </xf>
    <xf numFmtId="0" fontId="1" fillId="10" borderId="12" xfId="0" applyFont="1" applyFill="1" applyBorder="1" applyAlignment="1">
      <alignment horizontal="center"/>
    </xf>
    <xf numFmtId="0" fontId="1" fillId="10" borderId="25" xfId="0" applyFont="1" applyFill="1" applyBorder="1" applyAlignment="1">
      <alignment horizontal="center"/>
    </xf>
    <xf numFmtId="0" fontId="1" fillId="10" borderId="14" xfId="0" applyFont="1" applyFill="1" applyBorder="1" applyAlignment="1">
      <alignment horizontal="center"/>
    </xf>
    <xf numFmtId="0" fontId="12" fillId="10" borderId="43" xfId="0" applyFont="1" applyFill="1" applyBorder="1" applyAlignment="1">
      <alignment horizontal="center"/>
    </xf>
    <xf numFmtId="0" fontId="12" fillId="10" borderId="45" xfId="0" applyFont="1" applyFill="1" applyBorder="1" applyAlignment="1">
      <alignment horizontal="center"/>
    </xf>
    <xf numFmtId="0" fontId="22" fillId="10" borderId="0" xfId="0" applyFont="1" applyFill="1" applyBorder="1" applyAlignment="1">
      <alignment horizontal="center"/>
    </xf>
    <xf numFmtId="0" fontId="0" fillId="10" borderId="34" xfId="0" applyFont="1" applyFill="1" applyBorder="1" applyAlignment="1">
      <alignment horizontal="center"/>
    </xf>
    <xf numFmtId="0" fontId="0" fillId="10" borderId="51" xfId="0" applyFont="1" applyFill="1" applyBorder="1" applyAlignment="1">
      <alignment horizontal="center"/>
    </xf>
    <xf numFmtId="0" fontId="0" fillId="10" borderId="0" xfId="0" applyFont="1" applyFill="1" applyAlignment="1">
      <alignment horizontal="center"/>
    </xf>
    <xf numFmtId="0" fontId="0" fillId="10" borderId="21" xfId="0" applyFont="1" applyFill="1" applyBorder="1" applyAlignment="1">
      <alignment horizontal="center"/>
    </xf>
    <xf numFmtId="0" fontId="0" fillId="10" borderId="31" xfId="0" applyFont="1" applyFill="1" applyBorder="1" applyAlignment="1">
      <alignment horizontal="center"/>
    </xf>
    <xf numFmtId="0" fontId="0" fillId="10" borderId="6" xfId="0" applyFill="1" applyBorder="1" applyAlignment="1">
      <alignment horizontal="center"/>
    </xf>
    <xf numFmtId="0" fontId="0" fillId="10" borderId="31" xfId="0" applyFill="1" applyBorder="1" applyAlignment="1">
      <alignment horizontal="center"/>
    </xf>
    <xf numFmtId="0" fontId="1" fillId="10" borderId="6" xfId="0" applyFont="1" applyFill="1" applyBorder="1" applyAlignment="1">
      <alignment horizontal="center"/>
    </xf>
    <xf numFmtId="0" fontId="1" fillId="10" borderId="31" xfId="0" applyFont="1" applyFill="1" applyBorder="1" applyAlignment="1">
      <alignment horizontal="center"/>
    </xf>
    <xf numFmtId="0" fontId="1" fillId="10" borderId="20" xfId="0" applyFont="1" applyFill="1" applyBorder="1" applyAlignment="1">
      <alignment horizontal="center"/>
    </xf>
    <xf numFmtId="0" fontId="1" fillId="10" borderId="52" xfId="0" applyFont="1" applyFill="1" applyBorder="1" applyAlignment="1">
      <alignment horizontal="center"/>
    </xf>
    <xf numFmtId="0" fontId="0" fillId="10" borderId="2" xfId="0" applyFill="1" applyBorder="1" applyAlignment="1">
      <alignment horizontal="center"/>
    </xf>
    <xf numFmtId="0" fontId="1" fillId="10" borderId="41" xfId="0" applyFont="1" applyFill="1" applyBorder="1" applyAlignment="1">
      <alignment horizontal="center"/>
    </xf>
    <xf numFmtId="0" fontId="0" fillId="10" borderId="35" xfId="0" applyFont="1" applyFill="1" applyBorder="1" applyAlignment="1">
      <alignment horizontal="center"/>
    </xf>
    <xf numFmtId="0" fontId="0" fillId="10" borderId="36" xfId="0" applyFont="1" applyFill="1" applyBorder="1" applyAlignment="1">
      <alignment horizontal="center"/>
    </xf>
    <xf numFmtId="0" fontId="0" fillId="10" borderId="40" xfId="0" applyFont="1" applyFill="1" applyBorder="1" applyAlignment="1">
      <alignment horizontal="center"/>
    </xf>
    <xf numFmtId="0" fontId="0" fillId="10" borderId="38" xfId="0" applyFont="1" applyFill="1" applyBorder="1" applyAlignment="1">
      <alignment horizontal="center"/>
    </xf>
    <xf numFmtId="0" fontId="0" fillId="10" borderId="2" xfId="0" applyFont="1" applyFill="1" applyBorder="1" applyAlignment="1">
      <alignment horizontal="center"/>
    </xf>
    <xf numFmtId="0" fontId="0" fillId="10" borderId="7" xfId="0" applyFont="1" applyFill="1" applyBorder="1" applyAlignment="1">
      <alignment horizontal="center"/>
    </xf>
    <xf numFmtId="0" fontId="0" fillId="10" borderId="37" xfId="0" applyFont="1" applyFill="1" applyBorder="1" applyAlignment="1">
      <alignment horizontal="center"/>
    </xf>
    <xf numFmtId="0" fontId="0" fillId="10" borderId="19" xfId="0" applyFont="1" applyFill="1" applyBorder="1" applyAlignment="1">
      <alignment horizontal="center"/>
    </xf>
    <xf numFmtId="0" fontId="12" fillId="11" borderId="41" xfId="0" applyFont="1" applyFill="1" applyBorder="1" applyAlignment="1">
      <alignment horizontal="center"/>
    </xf>
    <xf numFmtId="0" fontId="0" fillId="11" borderId="23" xfId="0" applyFill="1" applyBorder="1" applyAlignment="1">
      <alignment horizontal="center"/>
    </xf>
    <xf numFmtId="0" fontId="0" fillId="11" borderId="11" xfId="0" applyFill="1" applyBorder="1" applyAlignment="1">
      <alignment horizontal="center"/>
    </xf>
    <xf numFmtId="0" fontId="0" fillId="11" borderId="27" xfId="0" applyFill="1" applyBorder="1" applyAlignment="1">
      <alignment horizontal="center"/>
    </xf>
    <xf numFmtId="0" fontId="0" fillId="11" borderId="53" xfId="0" applyFont="1" applyFill="1" applyBorder="1" applyAlignment="1">
      <alignment horizontal="center"/>
    </xf>
    <xf numFmtId="0" fontId="0" fillId="11" borderId="1" xfId="0" applyFont="1" applyFill="1" applyBorder="1" applyAlignment="1">
      <alignment horizontal="center"/>
    </xf>
    <xf numFmtId="0" fontId="0" fillId="11" borderId="6" xfId="0" applyFont="1" applyFill="1" applyBorder="1" applyAlignment="1">
      <alignment horizontal="center"/>
    </xf>
    <xf numFmtId="0" fontId="0" fillId="11" borderId="31" xfId="0" applyFont="1" applyFill="1" applyBorder="1" applyAlignment="1">
      <alignment horizontal="center"/>
    </xf>
    <xf numFmtId="0" fontId="0" fillId="11" borderId="14" xfId="0" applyFont="1" applyFill="1" applyBorder="1" applyAlignment="1">
      <alignment horizontal="center"/>
    </xf>
    <xf numFmtId="0" fontId="0" fillId="11" borderId="54" xfId="0" applyFont="1" applyFill="1" applyBorder="1" applyAlignment="1">
      <alignment horizontal="center"/>
    </xf>
    <xf numFmtId="0" fontId="1" fillId="11" borderId="0" xfId="0" applyFont="1" applyFill="1" applyAlignment="1">
      <alignment horizontal="center"/>
    </xf>
    <xf numFmtId="0" fontId="0" fillId="11" borderId="1" xfId="0" applyFill="1" applyBorder="1" applyAlignment="1">
      <alignment horizontal="center"/>
    </xf>
    <xf numFmtId="0" fontId="0" fillId="11" borderId="2" xfId="0" applyFill="1" applyBorder="1" applyAlignment="1">
      <alignment horizontal="center"/>
    </xf>
    <xf numFmtId="0" fontId="0" fillId="11" borderId="55" xfId="0" applyFill="1" applyBorder="1" applyAlignment="1">
      <alignment horizontal="center"/>
    </xf>
    <xf numFmtId="0" fontId="0" fillId="11" borderId="6" xfId="0" applyFill="1" applyBorder="1" applyAlignment="1">
      <alignment horizontal="center"/>
    </xf>
    <xf numFmtId="0" fontId="0" fillId="11" borderId="31" xfId="0" applyFill="1" applyBorder="1" applyAlignment="1">
      <alignment horizontal="center"/>
    </xf>
    <xf numFmtId="0" fontId="0" fillId="11" borderId="3" xfId="0" applyFill="1" applyBorder="1" applyAlignment="1">
      <alignment horizontal="center"/>
    </xf>
    <xf numFmtId="0" fontId="1" fillId="11" borderId="41" xfId="0" applyFont="1" applyFill="1" applyBorder="1" applyAlignment="1">
      <alignment horizontal="center"/>
    </xf>
    <xf numFmtId="0" fontId="0" fillId="12" borderId="21" xfId="0" applyFill="1" applyBorder="1" applyAlignment="1">
      <alignment horizontal="center"/>
    </xf>
    <xf numFmtId="0" fontId="0" fillId="12" borderId="31" xfId="0" applyFill="1" applyBorder="1" applyAlignment="1">
      <alignment horizontal="center"/>
    </xf>
    <xf numFmtId="0" fontId="0" fillId="12" borderId="0" xfId="0" applyFont="1" applyFill="1" applyAlignment="1">
      <alignment horizontal="center"/>
    </xf>
    <xf numFmtId="0" fontId="0" fillId="12" borderId="41" xfId="0" applyFont="1" applyFill="1" applyBorder="1" applyAlignment="1">
      <alignment horizontal="center"/>
    </xf>
    <xf numFmtId="0" fontId="0" fillId="12" borderId="11" xfId="0" applyFill="1" applyBorder="1" applyAlignment="1">
      <alignment horizontal="center"/>
    </xf>
    <xf numFmtId="0" fontId="0" fillId="12" borderId="27" xfId="0" applyFill="1" applyBorder="1" applyAlignment="1">
      <alignment horizontal="center"/>
    </xf>
    <xf numFmtId="0" fontId="0" fillId="12" borderId="23" xfId="0" applyFill="1" applyBorder="1" applyAlignment="1">
      <alignment horizontal="center"/>
    </xf>
    <xf numFmtId="0" fontId="0" fillId="12" borderId="53" xfId="0" applyFill="1" applyBorder="1" applyAlignment="1">
      <alignment horizontal="center"/>
    </xf>
    <xf numFmtId="0" fontId="0" fillId="12" borderId="1" xfId="0" applyFill="1" applyBorder="1" applyAlignment="1">
      <alignment horizontal="center"/>
    </xf>
    <xf numFmtId="0" fontId="1" fillId="12" borderId="0" xfId="0" applyFont="1" applyFill="1" applyAlignment="1">
      <alignment horizontal="center"/>
    </xf>
    <xf numFmtId="0" fontId="12" fillId="12" borderId="41" xfId="0" applyFont="1" applyFill="1" applyBorder="1" applyAlignment="1">
      <alignment horizontal="center"/>
    </xf>
    <xf numFmtId="0" fontId="0" fillId="12" borderId="2" xfId="0" applyFill="1" applyBorder="1" applyAlignment="1">
      <alignment horizontal="center"/>
    </xf>
    <xf numFmtId="0" fontId="0" fillId="12" borderId="33" xfId="0" applyFill="1" applyBorder="1" applyAlignment="1">
      <alignment horizontal="center"/>
    </xf>
    <xf numFmtId="0" fontId="0" fillId="12" borderId="55" xfId="0" applyFill="1" applyBorder="1" applyAlignment="1">
      <alignment horizontal="center"/>
    </xf>
    <xf numFmtId="0" fontId="0" fillId="12" borderId="22" xfId="0" applyFill="1" applyBorder="1" applyAlignment="1">
      <alignment horizontal="center"/>
    </xf>
    <xf numFmtId="0" fontId="0" fillId="12" borderId="6" xfId="0" applyFill="1" applyBorder="1" applyAlignment="1">
      <alignment horizontal="center"/>
    </xf>
    <xf numFmtId="0" fontId="1" fillId="12" borderId="1" xfId="0" applyFont="1" applyFill="1" applyBorder="1" applyAlignment="1">
      <alignment horizontal="center"/>
    </xf>
    <xf numFmtId="0" fontId="1" fillId="12" borderId="2" xfId="0" applyFont="1" applyFill="1" applyBorder="1" applyAlignment="1">
      <alignment horizontal="center"/>
    </xf>
    <xf numFmtId="0" fontId="1" fillId="12" borderId="44" xfId="0" applyFont="1" applyFill="1" applyBorder="1" applyAlignment="1">
      <alignment horizontal="center"/>
    </xf>
    <xf numFmtId="0" fontId="1" fillId="12" borderId="41" xfId="0" applyFont="1" applyFill="1" applyBorder="1" applyAlignment="1">
      <alignment horizontal="center"/>
    </xf>
    <xf numFmtId="0" fontId="0" fillId="13" borderId="0" xfId="0" applyFill="1" applyAlignment="1">
      <alignment horizontal="center"/>
    </xf>
    <xf numFmtId="0" fontId="0" fillId="13" borderId="41" xfId="0" applyFill="1" applyBorder="1" applyAlignment="1">
      <alignment horizontal="center"/>
    </xf>
    <xf numFmtId="0" fontId="12" fillId="13" borderId="41" xfId="0" applyFont="1" applyFill="1" applyBorder="1" applyAlignment="1">
      <alignment horizontal="center"/>
    </xf>
    <xf numFmtId="0" fontId="1" fillId="8" borderId="41" xfId="0" applyFont="1"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0" fillId="8" borderId="0" xfId="0" applyFill="1" applyAlignment="1">
      <alignment/>
    </xf>
    <xf numFmtId="0" fontId="0" fillId="9" borderId="38" xfId="0" applyFill="1" applyBorder="1" applyAlignment="1">
      <alignment horizontal="right"/>
    </xf>
    <xf numFmtId="0" fontId="0" fillId="9" borderId="2" xfId="0" applyFill="1" applyBorder="1" applyAlignment="1">
      <alignment horizontal="right"/>
    </xf>
  </cellXfs>
  <cellStyles count="16">
    <cellStyle name="Normal" xfId="0"/>
    <cellStyle name="Comma" xfId="15"/>
    <cellStyle name="Comma [0]" xfId="16"/>
    <cellStyle name="Currency" xfId="17"/>
    <cellStyle name="Currency [0]" xfId="18"/>
    <cellStyle name="Followed Hyperlink" xfId="19"/>
    <cellStyle name="Hyperlink" xfId="20"/>
    <cellStyle name="Normal_Book2 Chart 1" xfId="21"/>
    <cellStyle name="Normal_FINISHED mankiw7_efficiency" xfId="22"/>
    <cellStyle name="Normal_FINISHED Mankiw8_demand_supply_tariff" xfId="23"/>
    <cellStyle name="Normal_FINISHED~ mankiw15monopolywsws" xfId="24"/>
    <cellStyle name="Normal_gmat_lsat" xfId="25"/>
    <cellStyle name="Normal_long-run_cost_curves" xfId="26"/>
    <cellStyle name="Normal_mankiw_4_demand" xfId="27"/>
    <cellStyle name="Normal_mankiw7_efficiency.xls Chart 3"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 Nonlinear Production Possibilities Curve</a:t>
            </a:r>
          </a:p>
        </c:rich>
      </c:tx>
      <c:layout>
        <c:manualLayout>
          <c:xMode val="factor"/>
          <c:yMode val="factor"/>
          <c:x val="0"/>
          <c:y val="-0.02075"/>
        </c:manualLayout>
      </c:layout>
      <c:spPr>
        <a:noFill/>
        <a:ln>
          <a:noFill/>
        </a:ln>
      </c:spPr>
    </c:title>
    <c:plotArea>
      <c:layout>
        <c:manualLayout>
          <c:xMode val="edge"/>
          <c:yMode val="edge"/>
          <c:x val="0.02725"/>
          <c:y val="0.03825"/>
          <c:w val="0.97275"/>
          <c:h val="0.915"/>
        </c:manualLayout>
      </c:layout>
      <c:scatterChart>
        <c:scatterStyle val="line"/>
        <c:varyColors val="0"/>
        <c:ser>
          <c:idx val="0"/>
          <c:order val="0"/>
          <c:tx>
            <c:strRef>
              <c:f>'A Nonlinear PPC'!$AB$1</c:f>
              <c:strCache>
                <c:ptCount val="1"/>
                <c:pt idx="0">
                  <c:v>Y</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 Nonlinear PPC'!$AA$2:$AA$12</c:f>
              <c:numCache>
                <c:ptCount val="11"/>
                <c:pt idx="0">
                  <c:v>0</c:v>
                </c:pt>
                <c:pt idx="1">
                  <c:v>5</c:v>
                </c:pt>
                <c:pt idx="2">
                  <c:v>10</c:v>
                </c:pt>
                <c:pt idx="3">
                  <c:v>15.000000000000002</c:v>
                </c:pt>
                <c:pt idx="4">
                  <c:v>20</c:v>
                </c:pt>
                <c:pt idx="5">
                  <c:v>25</c:v>
                </c:pt>
                <c:pt idx="6">
                  <c:v>30</c:v>
                </c:pt>
                <c:pt idx="7">
                  <c:v>35</c:v>
                </c:pt>
                <c:pt idx="8">
                  <c:v>40</c:v>
                </c:pt>
                <c:pt idx="9">
                  <c:v>44.99999999999999</c:v>
                </c:pt>
                <c:pt idx="10">
                  <c:v>49.99999999999999</c:v>
                </c:pt>
              </c:numCache>
            </c:numRef>
          </c:xVal>
          <c:yVal>
            <c:numRef>
              <c:f>'A Nonlinear PPC'!$AB$2:$AB$12</c:f>
              <c:numCache>
                <c:ptCount val="11"/>
                <c:pt idx="0">
                  <c:v>100</c:v>
                </c:pt>
                <c:pt idx="1">
                  <c:v>99</c:v>
                </c:pt>
                <c:pt idx="2">
                  <c:v>96</c:v>
                </c:pt>
                <c:pt idx="3">
                  <c:v>91</c:v>
                </c:pt>
                <c:pt idx="4">
                  <c:v>84</c:v>
                </c:pt>
                <c:pt idx="5">
                  <c:v>75</c:v>
                </c:pt>
                <c:pt idx="6">
                  <c:v>64</c:v>
                </c:pt>
                <c:pt idx="7">
                  <c:v>51</c:v>
                </c:pt>
                <c:pt idx="8">
                  <c:v>36</c:v>
                </c:pt>
                <c:pt idx="9">
                  <c:v>19.00000000000003</c:v>
                </c:pt>
                <c:pt idx="10">
                  <c:v>0</c:v>
                </c:pt>
              </c:numCache>
            </c:numRef>
          </c:yVal>
          <c:smooth val="0"/>
        </c:ser>
        <c:axId val="30677776"/>
        <c:axId val="7664529"/>
      </c:scatterChart>
      <c:valAx>
        <c:axId val="30677776"/>
        <c:scaling>
          <c:orientation val="minMax"/>
          <c:max val="50"/>
          <c:min val="0"/>
        </c:scaling>
        <c:axPos val="b"/>
        <c:title>
          <c:tx>
            <c:rich>
              <a:bodyPr vert="horz" rot="0" anchor="ctr"/>
              <a:lstStyle/>
              <a:p>
                <a:pPr algn="ctr">
                  <a:defRPr/>
                </a:pPr>
                <a:r>
                  <a:rPr lang="en-US" cap="none" sz="1100" b="1" i="0" u="none" baseline="0"/>
                  <a:t>X Production</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7664529"/>
        <c:crosses val="autoZero"/>
        <c:crossBetween val="midCat"/>
        <c:dispUnits/>
      </c:valAx>
      <c:valAx>
        <c:axId val="7664529"/>
        <c:scaling>
          <c:orientation val="minMax"/>
          <c:max val="100"/>
          <c:min val="0"/>
        </c:scaling>
        <c:axPos val="l"/>
        <c:title>
          <c:tx>
            <c:rich>
              <a:bodyPr vert="horz" rot="-5400000" anchor="ctr"/>
              <a:lstStyle/>
              <a:p>
                <a:pPr algn="r">
                  <a:defRPr/>
                </a:pPr>
                <a:r>
                  <a:rPr lang="en-US" cap="none" sz="1100" b="1" i="0" u="none" baseline="0"/>
                  <a:t>Y Production</a:t>
                </a:r>
              </a:p>
            </c:rich>
          </c:tx>
          <c:layout>
            <c:manualLayout>
              <c:xMode val="factor"/>
              <c:yMode val="factor"/>
              <c:x val="0.00225"/>
              <c:y val="0.01325"/>
            </c:manualLayout>
          </c:layout>
          <c:overlay val="0"/>
          <c:spPr>
            <a:noFill/>
            <a:ln>
              <a:noFill/>
            </a:ln>
          </c:spPr>
        </c:title>
        <c:delete val="0"/>
        <c:numFmt formatCode="General" sourceLinked="1"/>
        <c:majorTickMark val="cross"/>
        <c:minorTickMark val="none"/>
        <c:tickLblPos val="nextTo"/>
        <c:crossAx val="30677776"/>
        <c:crosses val="autoZero"/>
        <c:crossBetween val="midCat"/>
        <c:dispUnits/>
      </c:valAx>
      <c:spPr>
        <a:noFill/>
        <a:ln>
          <a:noFill/>
        </a:ln>
      </c:spPr>
    </c:plotArea>
    <c:plotVisOnly val="1"/>
    <c:dispBlanksAs val="gap"/>
    <c:showDLblsOverMax val="0"/>
  </c:chart>
  <c:spPr>
    <a:ln w="12700">
      <a:solid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Two PPCs</a:t>
            </a:r>
          </a:p>
        </c:rich>
      </c:tx>
      <c:layout>
        <c:manualLayout>
          <c:xMode val="factor"/>
          <c:yMode val="factor"/>
          <c:x val="-0.00175"/>
          <c:y val="-0.0205"/>
        </c:manualLayout>
      </c:layout>
      <c:spPr>
        <a:noFill/>
        <a:ln>
          <a:noFill/>
        </a:ln>
      </c:spPr>
    </c:title>
    <c:plotArea>
      <c:layout>
        <c:manualLayout>
          <c:xMode val="edge"/>
          <c:yMode val="edge"/>
          <c:x val="0.039"/>
          <c:y val="0.01825"/>
          <c:w val="0.961"/>
          <c:h val="0.949"/>
        </c:manualLayout>
      </c:layout>
      <c:scatterChart>
        <c:scatterStyle val="lineMarker"/>
        <c:varyColors val="0"/>
        <c:ser>
          <c:idx val="0"/>
          <c:order val="0"/>
          <c:tx>
            <c:strRef>
              <c:f>'2 PPCs'!$AB$2</c:f>
              <c:strCache>
                <c:ptCount val="1"/>
                <c:pt idx="0">
                  <c:v>PPC_1</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'2 PPCs'!$AA$3:$AA$13</c:f>
              <c:numCache>
                <c:ptCount val="11"/>
                <c:pt idx="0">
                  <c:v>0</c:v>
                </c:pt>
                <c:pt idx="1">
                  <c:v>10</c:v>
                </c:pt>
                <c:pt idx="2">
                  <c:v>20</c:v>
                </c:pt>
                <c:pt idx="3">
                  <c:v>30</c:v>
                </c:pt>
                <c:pt idx="4">
                  <c:v>40</c:v>
                </c:pt>
                <c:pt idx="5">
                  <c:v>50</c:v>
                </c:pt>
                <c:pt idx="6">
                  <c:v>60</c:v>
                </c:pt>
                <c:pt idx="7">
                  <c:v>70</c:v>
                </c:pt>
                <c:pt idx="8">
                  <c:v>80</c:v>
                </c:pt>
                <c:pt idx="9">
                  <c:v>90</c:v>
                </c:pt>
                <c:pt idx="10">
                  <c:v>100</c:v>
                </c:pt>
              </c:numCache>
            </c:numRef>
          </c:xVal>
          <c:yVal>
            <c:numRef>
              <c:f>'2 PPCs'!$AB$3:$AB$13</c:f>
              <c:numCache>
                <c:ptCount val="11"/>
                <c:pt idx="0">
                  <c:v>100</c:v>
                </c:pt>
                <c:pt idx="1">
                  <c:v>96</c:v>
                </c:pt>
                <c:pt idx="2">
                  <c:v>84</c:v>
                </c:pt>
                <c:pt idx="3">
                  <c:v>64</c:v>
                </c:pt>
                <c:pt idx="4">
                  <c:v>36</c:v>
                </c:pt>
                <c:pt idx="5">
                  <c:v>0</c:v>
                </c:pt>
                <c:pt idx="6">
                  <c:v>-44</c:v>
                </c:pt>
                <c:pt idx="7">
                  <c:v>-96</c:v>
                </c:pt>
                <c:pt idx="8">
                  <c:v>-156</c:v>
                </c:pt>
                <c:pt idx="9">
                  <c:v>-224</c:v>
                </c:pt>
                <c:pt idx="10">
                  <c:v>-300</c:v>
                </c:pt>
              </c:numCache>
            </c:numRef>
          </c:yVal>
          <c:smooth val="0"/>
        </c:ser>
        <c:ser>
          <c:idx val="1"/>
          <c:order val="1"/>
          <c:tx>
            <c:strRef>
              <c:f>'2 PPCs'!$AC$2</c:f>
              <c:strCache>
                <c:ptCount val="1"/>
                <c:pt idx="0">
                  <c:v>PPC_2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xVal>
            <c:numRef>
              <c:f>'2 PPCs'!$AA$3:$AA$13</c:f>
              <c:numCache>
                <c:ptCount val="11"/>
                <c:pt idx="0">
                  <c:v>0</c:v>
                </c:pt>
                <c:pt idx="1">
                  <c:v>10</c:v>
                </c:pt>
                <c:pt idx="2">
                  <c:v>20</c:v>
                </c:pt>
                <c:pt idx="3">
                  <c:v>30</c:v>
                </c:pt>
                <c:pt idx="4">
                  <c:v>40</c:v>
                </c:pt>
                <c:pt idx="5">
                  <c:v>50</c:v>
                </c:pt>
                <c:pt idx="6">
                  <c:v>60</c:v>
                </c:pt>
                <c:pt idx="7">
                  <c:v>70</c:v>
                </c:pt>
                <c:pt idx="8">
                  <c:v>80</c:v>
                </c:pt>
                <c:pt idx="9">
                  <c:v>90</c:v>
                </c:pt>
                <c:pt idx="10">
                  <c:v>100</c:v>
                </c:pt>
              </c:numCache>
            </c:numRef>
          </c:xVal>
          <c:yVal>
            <c:numRef>
              <c:f>'2 PPCs'!$AC$3:$AC$13</c:f>
              <c:numCache>
                <c:ptCount val="11"/>
                <c:pt idx="0">
                  <c:v>100</c:v>
                </c:pt>
                <c:pt idx="1">
                  <c:v>96</c:v>
                </c:pt>
                <c:pt idx="2">
                  <c:v>84</c:v>
                </c:pt>
                <c:pt idx="3">
                  <c:v>64</c:v>
                </c:pt>
                <c:pt idx="4">
                  <c:v>36</c:v>
                </c:pt>
                <c:pt idx="5">
                  <c:v>0</c:v>
                </c:pt>
                <c:pt idx="6">
                  <c:v>-44</c:v>
                </c:pt>
                <c:pt idx="7">
                  <c:v>-96</c:v>
                </c:pt>
                <c:pt idx="8">
                  <c:v>-156</c:v>
                </c:pt>
                <c:pt idx="9">
                  <c:v>-224</c:v>
                </c:pt>
                <c:pt idx="10">
                  <c:v>-300</c:v>
                </c:pt>
              </c:numCache>
            </c:numRef>
          </c:yVal>
          <c:smooth val="0"/>
        </c:ser>
        <c:axId val="1871898"/>
        <c:axId val="16847083"/>
      </c:scatterChart>
      <c:valAx>
        <c:axId val="1871898"/>
        <c:scaling>
          <c:orientation val="minMax"/>
          <c:max val="100"/>
        </c:scaling>
        <c:axPos val="b"/>
        <c:title>
          <c:tx>
            <c:rich>
              <a:bodyPr vert="horz" rot="0" anchor="ctr"/>
              <a:lstStyle/>
              <a:p>
                <a:pPr algn="ctr">
                  <a:defRPr/>
                </a:pPr>
                <a:r>
                  <a:rPr lang="en-US" cap="none" sz="1100" b="1" i="0" u="none" baseline="0"/>
                  <a:t>X production</a:t>
                </a:r>
              </a:p>
            </c:rich>
          </c:tx>
          <c:layout/>
          <c:overlay val="0"/>
          <c:spPr>
            <a:noFill/>
            <a:ln>
              <a:noFill/>
            </a:ln>
          </c:spPr>
        </c:title>
        <c:delete val="0"/>
        <c:numFmt formatCode="General" sourceLinked="1"/>
        <c:majorTickMark val="out"/>
        <c:minorTickMark val="none"/>
        <c:tickLblPos val="nextTo"/>
        <c:crossAx val="16847083"/>
        <c:crosses val="autoZero"/>
        <c:crossBetween val="midCat"/>
        <c:dispUnits/>
      </c:valAx>
      <c:valAx>
        <c:axId val="16847083"/>
        <c:scaling>
          <c:orientation val="minMax"/>
          <c:max val="200"/>
          <c:min val="0"/>
        </c:scaling>
        <c:axPos val="l"/>
        <c:title>
          <c:tx>
            <c:rich>
              <a:bodyPr vert="horz" rot="-5400000" anchor="ctr"/>
              <a:lstStyle/>
              <a:p>
                <a:pPr algn="ctr">
                  <a:defRPr/>
                </a:pPr>
                <a:r>
                  <a:rPr lang="en-US" cap="none" sz="1100" b="1" i="0" u="none" baseline="0"/>
                  <a:t>Y production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crossAx val="1871898"/>
        <c:crosses val="autoZero"/>
        <c:crossBetween val="midCat"/>
        <c:dispUnits/>
      </c:valAx>
      <c:spPr>
        <a:noFill/>
        <a:ln>
          <a:noFill/>
        </a:ln>
      </c:spPr>
    </c:plotArea>
    <c:legend>
      <c:legendPos val="r"/>
      <c:layout>
        <c:manualLayout>
          <c:xMode val="edge"/>
          <c:yMode val="edge"/>
          <c:x val="0.7115"/>
          <c:y val="0.08375"/>
          <c:w val="0.18925"/>
          <c:h val="0.094"/>
        </c:manualLayout>
      </c:layout>
      <c:overlay val="0"/>
      <c:spPr>
        <a:noFill/>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Linear PPC</a:t>
            </a:r>
          </a:p>
        </c:rich>
      </c:tx>
      <c:layout>
        <c:manualLayout>
          <c:xMode val="factor"/>
          <c:yMode val="factor"/>
          <c:x val="-0.013"/>
          <c:y val="-0.01975"/>
        </c:manualLayout>
      </c:layout>
      <c:spPr>
        <a:noFill/>
        <a:ln>
          <a:noFill/>
        </a:ln>
      </c:spPr>
    </c:title>
    <c:plotArea>
      <c:layout>
        <c:manualLayout>
          <c:xMode val="edge"/>
          <c:yMode val="edge"/>
          <c:x val="0.038"/>
          <c:y val="0.0305"/>
          <c:w val="0.962"/>
          <c:h val="0.92925"/>
        </c:manualLayout>
      </c:layout>
      <c:scatterChart>
        <c:scatterStyle val="smoothMarker"/>
        <c:varyColors val="0"/>
        <c:ser>
          <c:idx val="0"/>
          <c:order val="0"/>
          <c:tx>
            <c:strRef>
              <c:f>'Linear PPC'!$AC$3</c:f>
              <c:strCache>
                <c:ptCount val="1"/>
                <c:pt idx="0">
                  <c:v>Y</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xVal>
            <c:numRef>
              <c:f>'Linear PPC'!$AB$4:$AB$9</c:f>
              <c:numCache>
                <c:ptCount val="6"/>
                <c:pt idx="0">
                  <c:v>0</c:v>
                </c:pt>
                <c:pt idx="1">
                  <c:v>12</c:v>
                </c:pt>
                <c:pt idx="2">
                  <c:v>24</c:v>
                </c:pt>
                <c:pt idx="3">
                  <c:v>36.00000000000001</c:v>
                </c:pt>
                <c:pt idx="4">
                  <c:v>48</c:v>
                </c:pt>
                <c:pt idx="5">
                  <c:v>60</c:v>
                </c:pt>
              </c:numCache>
            </c:numRef>
          </c:xVal>
          <c:yVal>
            <c:numRef>
              <c:f>'Linear PPC'!$AC$4:$AC$9</c:f>
              <c:numCache>
                <c:ptCount val="6"/>
                <c:pt idx="0">
                  <c:v>150</c:v>
                </c:pt>
                <c:pt idx="1">
                  <c:v>120</c:v>
                </c:pt>
                <c:pt idx="2">
                  <c:v>90</c:v>
                </c:pt>
                <c:pt idx="3">
                  <c:v>59.999999999999986</c:v>
                </c:pt>
                <c:pt idx="4">
                  <c:v>29.999999999999993</c:v>
                </c:pt>
                <c:pt idx="5">
                  <c:v>0</c:v>
                </c:pt>
              </c:numCache>
            </c:numRef>
          </c:yVal>
          <c:smooth val="1"/>
        </c:ser>
        <c:axId val="17406020"/>
        <c:axId val="22436453"/>
      </c:scatterChart>
      <c:valAx>
        <c:axId val="17406020"/>
        <c:scaling>
          <c:orientation val="minMax"/>
          <c:max val="120"/>
        </c:scaling>
        <c:axPos val="b"/>
        <c:title>
          <c:tx>
            <c:rich>
              <a:bodyPr vert="horz" rot="0" anchor="ctr"/>
              <a:lstStyle/>
              <a:p>
                <a:pPr algn="ctr">
                  <a:defRPr/>
                </a:pPr>
                <a:r>
                  <a:rPr lang="en-US" cap="none" sz="1100" b="1" i="0" u="none" baseline="0"/>
                  <a:t>X production</a:t>
                </a:r>
              </a:p>
            </c:rich>
          </c:tx>
          <c:layout/>
          <c:overlay val="0"/>
          <c:spPr>
            <a:noFill/>
            <a:ln>
              <a:noFill/>
            </a:ln>
          </c:spPr>
        </c:title>
        <c:delete val="0"/>
        <c:numFmt formatCode="General" sourceLinked="1"/>
        <c:majorTickMark val="out"/>
        <c:minorTickMark val="none"/>
        <c:tickLblPos val="nextTo"/>
        <c:crossAx val="22436453"/>
        <c:crosses val="autoZero"/>
        <c:crossBetween val="midCat"/>
        <c:dispUnits/>
      </c:valAx>
      <c:valAx>
        <c:axId val="22436453"/>
        <c:scaling>
          <c:orientation val="minMax"/>
          <c:max val="250"/>
        </c:scaling>
        <c:axPos val="l"/>
        <c:title>
          <c:tx>
            <c:rich>
              <a:bodyPr vert="horz" rot="-5400000" anchor="ctr"/>
              <a:lstStyle/>
              <a:p>
                <a:pPr algn="ctr">
                  <a:defRPr/>
                </a:pPr>
                <a:r>
                  <a:rPr lang="en-US" cap="none" sz="1100" b="1" i="0" u="none" baseline="0"/>
                  <a:t>Y production
</a:t>
                </a:r>
              </a:p>
            </c:rich>
          </c:tx>
          <c:layout/>
          <c:overlay val="0"/>
          <c:spPr>
            <a:noFill/>
            <a:ln>
              <a:noFill/>
            </a:ln>
          </c:spPr>
        </c:title>
        <c:delete val="0"/>
        <c:numFmt formatCode="General" sourceLinked="1"/>
        <c:majorTickMark val="out"/>
        <c:minorTickMark val="none"/>
        <c:tickLblPos val="nextTo"/>
        <c:crossAx val="17406020"/>
        <c:crosses val="autoZero"/>
        <c:crossBetween val="midCat"/>
        <c:dispUnits/>
      </c:valAx>
      <c:spPr>
        <a:solidFill>
          <a:srgbClr val="FFFFFF"/>
        </a:solidFill>
        <a:ln w="12700">
          <a:solidFill/>
        </a:ln>
      </c:spPr>
    </c:plotArea>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Linear Graph of Production Possibilities</a:t>
            </a:r>
          </a:p>
        </c:rich>
      </c:tx>
      <c:layout>
        <c:manualLayout>
          <c:xMode val="factor"/>
          <c:yMode val="factor"/>
          <c:x val="0.00175"/>
          <c:y val="-0.01975"/>
        </c:manualLayout>
      </c:layout>
      <c:spPr>
        <a:noFill/>
        <a:ln>
          <a:noFill/>
        </a:ln>
      </c:spPr>
    </c:title>
    <c:plotArea>
      <c:layout>
        <c:manualLayout>
          <c:xMode val="edge"/>
          <c:yMode val="edge"/>
          <c:x val="0.03425"/>
          <c:y val="0.02675"/>
          <c:w val="0.96575"/>
          <c:h val="0.93925"/>
        </c:manualLayout>
      </c:layout>
      <c:lineChart>
        <c:grouping val="standard"/>
        <c:varyColors val="0"/>
        <c:ser>
          <c:idx val="0"/>
          <c:order val="0"/>
          <c:tx>
            <c:strRef>
              <c:f>'Graph Linear'!$AC$1</c:f>
              <c:strCache>
                <c:ptCount val="1"/>
                <c:pt idx="0">
                  <c:v>Y_max</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Linear'!$AB$2:$AB$42</c:f>
              <c:numCache>
                <c:ptCount val="41"/>
                <c:pt idx="0">
                  <c:v>0</c:v>
                </c:pt>
                <c:pt idx="1">
                  <c:v>2.75</c:v>
                </c:pt>
                <c:pt idx="2">
                  <c:v>5.5</c:v>
                </c:pt>
                <c:pt idx="3">
                  <c:v>8.250000000000002</c:v>
                </c:pt>
                <c:pt idx="4">
                  <c:v>11</c:v>
                </c:pt>
                <c:pt idx="5">
                  <c:v>13.75</c:v>
                </c:pt>
                <c:pt idx="6">
                  <c:v>16.5</c:v>
                </c:pt>
                <c:pt idx="7">
                  <c:v>19.25</c:v>
                </c:pt>
                <c:pt idx="8">
                  <c:v>21.999999999999996</c:v>
                </c:pt>
                <c:pt idx="9">
                  <c:v>24.749999999999996</c:v>
                </c:pt>
                <c:pt idx="10">
                  <c:v>27.499999999999996</c:v>
                </c:pt>
                <c:pt idx="11">
                  <c:v>30.249999999999996</c:v>
                </c:pt>
                <c:pt idx="12">
                  <c:v>33</c:v>
                </c:pt>
                <c:pt idx="13">
                  <c:v>35.75</c:v>
                </c:pt>
                <c:pt idx="14">
                  <c:v>38.50000000000001</c:v>
                </c:pt>
                <c:pt idx="15">
                  <c:v>41.25000000000001</c:v>
                </c:pt>
                <c:pt idx="16">
                  <c:v>44.00000000000001</c:v>
                </c:pt>
                <c:pt idx="17">
                  <c:v>46.750000000000014</c:v>
                </c:pt>
                <c:pt idx="18">
                  <c:v>49.500000000000014</c:v>
                </c:pt>
                <c:pt idx="19">
                  <c:v>52.250000000000014</c:v>
                </c:pt>
                <c:pt idx="20">
                  <c:v>55.000000000000014</c:v>
                </c:pt>
                <c:pt idx="21">
                  <c:v>57.750000000000014</c:v>
                </c:pt>
                <c:pt idx="22">
                  <c:v>60.500000000000014</c:v>
                </c:pt>
                <c:pt idx="23">
                  <c:v>63.25000000000002</c:v>
                </c:pt>
                <c:pt idx="24">
                  <c:v>66.00000000000003</c:v>
                </c:pt>
                <c:pt idx="25">
                  <c:v>68.75000000000003</c:v>
                </c:pt>
                <c:pt idx="26">
                  <c:v>71.50000000000003</c:v>
                </c:pt>
                <c:pt idx="27">
                  <c:v>74.25000000000003</c:v>
                </c:pt>
                <c:pt idx="28">
                  <c:v>77.00000000000003</c:v>
                </c:pt>
                <c:pt idx="29">
                  <c:v>79.75000000000003</c:v>
                </c:pt>
                <c:pt idx="30">
                  <c:v>82.50000000000004</c:v>
                </c:pt>
                <c:pt idx="31">
                  <c:v>85.25000000000004</c:v>
                </c:pt>
                <c:pt idx="32">
                  <c:v>88.00000000000004</c:v>
                </c:pt>
                <c:pt idx="33">
                  <c:v>90.75000000000004</c:v>
                </c:pt>
                <c:pt idx="34">
                  <c:v>93.50000000000004</c:v>
                </c:pt>
                <c:pt idx="35">
                  <c:v>96.25000000000004</c:v>
                </c:pt>
                <c:pt idx="36">
                  <c:v>99.00000000000006</c:v>
                </c:pt>
                <c:pt idx="37">
                  <c:v>101.75000000000006</c:v>
                </c:pt>
                <c:pt idx="38">
                  <c:v>104.50000000000006</c:v>
                </c:pt>
                <c:pt idx="39">
                  <c:v>107.25000000000006</c:v>
                </c:pt>
                <c:pt idx="40">
                  <c:v>110.00000000000004</c:v>
                </c:pt>
              </c:numCache>
            </c:numRef>
          </c:cat>
          <c:val>
            <c:numRef>
              <c:f>'Graph Linear'!$AC$2:$AC$42</c:f>
              <c:numCache>
                <c:ptCount val="41"/>
                <c:pt idx="0">
                  <c:v>530</c:v>
                </c:pt>
                <c:pt idx="1">
                  <c:v>522.85</c:v>
                </c:pt>
                <c:pt idx="2">
                  <c:v>515.7</c:v>
                </c:pt>
                <c:pt idx="3">
                  <c:v>508.55</c:v>
                </c:pt>
                <c:pt idx="4">
                  <c:v>501.4</c:v>
                </c:pt>
                <c:pt idx="5">
                  <c:v>494.25</c:v>
                </c:pt>
                <c:pt idx="6">
                  <c:v>487.1</c:v>
                </c:pt>
                <c:pt idx="7">
                  <c:v>479.95</c:v>
                </c:pt>
                <c:pt idx="8">
                  <c:v>472.8</c:v>
                </c:pt>
                <c:pt idx="9">
                  <c:v>465.65</c:v>
                </c:pt>
                <c:pt idx="10">
                  <c:v>458.5</c:v>
                </c:pt>
                <c:pt idx="11">
                  <c:v>451.35</c:v>
                </c:pt>
                <c:pt idx="12">
                  <c:v>444.2</c:v>
                </c:pt>
                <c:pt idx="13">
                  <c:v>437.05</c:v>
                </c:pt>
                <c:pt idx="14">
                  <c:v>429.9</c:v>
                </c:pt>
                <c:pt idx="15">
                  <c:v>422.75</c:v>
                </c:pt>
                <c:pt idx="16">
                  <c:v>415.59999999999997</c:v>
                </c:pt>
                <c:pt idx="17">
                  <c:v>408.44999999999993</c:v>
                </c:pt>
                <c:pt idx="18">
                  <c:v>401.29999999999995</c:v>
                </c:pt>
                <c:pt idx="19">
                  <c:v>384.99999999999994</c:v>
                </c:pt>
                <c:pt idx="20">
                  <c:v>366.6666666666666</c:v>
                </c:pt>
                <c:pt idx="21">
                  <c:v>348.33333333333326</c:v>
                </c:pt>
                <c:pt idx="22">
                  <c:v>329.99999999999994</c:v>
                </c:pt>
                <c:pt idx="23">
                  <c:v>311.6666666666666</c:v>
                </c:pt>
                <c:pt idx="24">
                  <c:v>293.33333333333314</c:v>
                </c:pt>
                <c:pt idx="25">
                  <c:v>274.99999999999983</c:v>
                </c:pt>
                <c:pt idx="26">
                  <c:v>256.6666666666665</c:v>
                </c:pt>
                <c:pt idx="27">
                  <c:v>238.33333333333314</c:v>
                </c:pt>
                <c:pt idx="28">
                  <c:v>219.99999999999977</c:v>
                </c:pt>
                <c:pt idx="29">
                  <c:v>201.66666666666652</c:v>
                </c:pt>
                <c:pt idx="30">
                  <c:v>183.33333333333303</c:v>
                </c:pt>
                <c:pt idx="31">
                  <c:v>164.99999999999977</c:v>
                </c:pt>
                <c:pt idx="32">
                  <c:v>146.6666666666664</c:v>
                </c:pt>
                <c:pt idx="33">
                  <c:v>128.33333333333303</c:v>
                </c:pt>
                <c:pt idx="34">
                  <c:v>109.99999999999977</c:v>
                </c:pt>
                <c:pt idx="35">
                  <c:v>91.6666666666664</c:v>
                </c:pt>
                <c:pt idx="36">
                  <c:v>73.33333333333292</c:v>
                </c:pt>
                <c:pt idx="37">
                  <c:v>54.99999999999966</c:v>
                </c:pt>
                <c:pt idx="38">
                  <c:v>36.66666666666629</c:v>
                </c:pt>
                <c:pt idx="39">
                  <c:v>18.333333333332916</c:v>
                </c:pt>
                <c:pt idx="40">
                  <c:v>-2.2737367544323206E-13</c:v>
                </c:pt>
              </c:numCache>
            </c:numRef>
          </c:val>
          <c:smooth val="1"/>
        </c:ser>
        <c:ser>
          <c:idx val="1"/>
          <c:order val="1"/>
          <c:tx>
            <c:strRef>
              <c:f>'Graph Linear'!$AD$1</c:f>
              <c:strCache>
                <c:ptCount val="1"/>
                <c:pt idx="0">
                  <c:v>A's Y</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Linear'!$AB$2:$AB$42</c:f>
              <c:numCache>
                <c:ptCount val="41"/>
                <c:pt idx="0">
                  <c:v>0</c:v>
                </c:pt>
                <c:pt idx="1">
                  <c:v>2.75</c:v>
                </c:pt>
                <c:pt idx="2">
                  <c:v>5.5</c:v>
                </c:pt>
                <c:pt idx="3">
                  <c:v>8.250000000000002</c:v>
                </c:pt>
                <c:pt idx="4">
                  <c:v>11</c:v>
                </c:pt>
                <c:pt idx="5">
                  <c:v>13.75</c:v>
                </c:pt>
                <c:pt idx="6">
                  <c:v>16.5</c:v>
                </c:pt>
                <c:pt idx="7">
                  <c:v>19.25</c:v>
                </c:pt>
                <c:pt idx="8">
                  <c:v>21.999999999999996</c:v>
                </c:pt>
                <c:pt idx="9">
                  <c:v>24.749999999999996</c:v>
                </c:pt>
                <c:pt idx="10">
                  <c:v>27.499999999999996</c:v>
                </c:pt>
                <c:pt idx="11">
                  <c:v>30.249999999999996</c:v>
                </c:pt>
                <c:pt idx="12">
                  <c:v>33</c:v>
                </c:pt>
                <c:pt idx="13">
                  <c:v>35.75</c:v>
                </c:pt>
                <c:pt idx="14">
                  <c:v>38.50000000000001</c:v>
                </c:pt>
                <c:pt idx="15">
                  <c:v>41.25000000000001</c:v>
                </c:pt>
                <c:pt idx="16">
                  <c:v>44.00000000000001</c:v>
                </c:pt>
                <c:pt idx="17">
                  <c:v>46.750000000000014</c:v>
                </c:pt>
                <c:pt idx="18">
                  <c:v>49.500000000000014</c:v>
                </c:pt>
                <c:pt idx="19">
                  <c:v>52.250000000000014</c:v>
                </c:pt>
                <c:pt idx="20">
                  <c:v>55.000000000000014</c:v>
                </c:pt>
                <c:pt idx="21">
                  <c:v>57.750000000000014</c:v>
                </c:pt>
                <c:pt idx="22">
                  <c:v>60.500000000000014</c:v>
                </c:pt>
                <c:pt idx="23">
                  <c:v>63.25000000000002</c:v>
                </c:pt>
                <c:pt idx="24">
                  <c:v>66.00000000000003</c:v>
                </c:pt>
                <c:pt idx="25">
                  <c:v>68.75000000000003</c:v>
                </c:pt>
                <c:pt idx="26">
                  <c:v>71.50000000000003</c:v>
                </c:pt>
                <c:pt idx="27">
                  <c:v>74.25000000000003</c:v>
                </c:pt>
                <c:pt idx="28">
                  <c:v>77.00000000000003</c:v>
                </c:pt>
                <c:pt idx="29">
                  <c:v>79.75000000000003</c:v>
                </c:pt>
                <c:pt idx="30">
                  <c:v>82.50000000000004</c:v>
                </c:pt>
                <c:pt idx="31">
                  <c:v>85.25000000000004</c:v>
                </c:pt>
                <c:pt idx="32">
                  <c:v>88.00000000000004</c:v>
                </c:pt>
                <c:pt idx="33">
                  <c:v>90.75000000000004</c:v>
                </c:pt>
                <c:pt idx="34">
                  <c:v>93.50000000000004</c:v>
                </c:pt>
                <c:pt idx="35">
                  <c:v>96.25000000000004</c:v>
                </c:pt>
                <c:pt idx="36">
                  <c:v>99.00000000000006</c:v>
                </c:pt>
                <c:pt idx="37">
                  <c:v>101.75000000000006</c:v>
                </c:pt>
                <c:pt idx="38">
                  <c:v>104.50000000000006</c:v>
                </c:pt>
                <c:pt idx="39">
                  <c:v>107.25000000000006</c:v>
                </c:pt>
                <c:pt idx="40">
                  <c:v>110.00000000000004</c:v>
                </c:pt>
              </c:numCache>
            </c:numRef>
          </c:cat>
          <c:val>
            <c:numRef>
              <c:f>'Graph Linear'!$AD$2:$AD$42</c:f>
              <c:numCache>
                <c:ptCount val="41"/>
                <c:pt idx="0">
                  <c:v>400</c:v>
                </c:pt>
                <c:pt idx="1">
                  <c:v>381.6666666666667</c:v>
                </c:pt>
                <c:pt idx="2">
                  <c:v>363.3333333333333</c:v>
                </c:pt>
                <c:pt idx="3">
                  <c:v>345</c:v>
                </c:pt>
                <c:pt idx="4">
                  <c:v>326.66666666666663</c:v>
                </c:pt>
                <c:pt idx="5">
                  <c:v>308.3333333333333</c:v>
                </c:pt>
                <c:pt idx="6">
                  <c:v>290</c:v>
                </c:pt>
                <c:pt idx="7">
                  <c:v>271.66666666666663</c:v>
                </c:pt>
                <c:pt idx="8">
                  <c:v>253.33333333333334</c:v>
                </c:pt>
                <c:pt idx="9">
                  <c:v>235.00000000000003</c:v>
                </c:pt>
                <c:pt idx="10">
                  <c:v>216.66666666666669</c:v>
                </c:pt>
                <c:pt idx="11">
                  <c:v>198.33333333333334</c:v>
                </c:pt>
                <c:pt idx="12">
                  <c:v>180</c:v>
                </c:pt>
                <c:pt idx="13">
                  <c:v>161.66666666666666</c:v>
                </c:pt>
                <c:pt idx="14">
                  <c:v>143.33333333333326</c:v>
                </c:pt>
                <c:pt idx="15">
                  <c:v>124.99999999999994</c:v>
                </c:pt>
                <c:pt idx="16">
                  <c:v>106.66666666666663</c:v>
                </c:pt>
                <c:pt idx="17">
                  <c:v>88.3333333333332</c:v>
                </c:pt>
                <c:pt idx="18">
                  <c:v>69.99999999999989</c:v>
                </c:pt>
                <c:pt idx="19">
                  <c:v>51.66666666666657</c:v>
                </c:pt>
                <c:pt idx="20">
                  <c:v>33.3333333333332</c:v>
                </c:pt>
                <c:pt idx="21">
                  <c:v>14.999999999999886</c:v>
                </c:pt>
                <c:pt idx="22">
                  <c:v>-3.333333333333428</c:v>
                </c:pt>
                <c:pt idx="23">
                  <c:v>-21.6666666666668</c:v>
                </c:pt>
                <c:pt idx="24">
                  <c:v>-40.00000000000023</c:v>
                </c:pt>
                <c:pt idx="25">
                  <c:v>-58.33333333333354</c:v>
                </c:pt>
                <c:pt idx="26">
                  <c:v>-76.66666666666686</c:v>
                </c:pt>
                <c:pt idx="27">
                  <c:v>-95.00000000000023</c:v>
                </c:pt>
                <c:pt idx="28">
                  <c:v>-113.3333333333336</c:v>
                </c:pt>
                <c:pt idx="29">
                  <c:v>-131.66666666666686</c:v>
                </c:pt>
                <c:pt idx="30">
                  <c:v>-150.00000000000034</c:v>
                </c:pt>
                <c:pt idx="31">
                  <c:v>-168.3333333333336</c:v>
                </c:pt>
                <c:pt idx="32">
                  <c:v>-186.66666666666697</c:v>
                </c:pt>
                <c:pt idx="33">
                  <c:v>-205.00000000000034</c:v>
                </c:pt>
                <c:pt idx="34">
                  <c:v>-223.3333333333336</c:v>
                </c:pt>
                <c:pt idx="35">
                  <c:v>-241.66666666666697</c:v>
                </c:pt>
                <c:pt idx="36">
                  <c:v>-260.00000000000045</c:v>
                </c:pt>
                <c:pt idx="37">
                  <c:v>-278.3333333333337</c:v>
                </c:pt>
                <c:pt idx="38">
                  <c:v>-296.6666666666671</c:v>
                </c:pt>
                <c:pt idx="39">
                  <c:v>-315.00000000000045</c:v>
                </c:pt>
                <c:pt idx="40">
                  <c:v>-333.3333333333336</c:v>
                </c:pt>
              </c:numCache>
            </c:numRef>
          </c:val>
          <c:smooth val="1"/>
        </c:ser>
        <c:ser>
          <c:idx val="2"/>
          <c:order val="2"/>
          <c:tx>
            <c:strRef>
              <c:f>'Graph Linear'!$AE$1</c:f>
              <c:strCache>
                <c:ptCount val="1"/>
                <c:pt idx="0">
                  <c:v>B's Y</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FF00"/>
              </a:solidFill>
              <a:ln>
                <a:solidFill>
                  <a:srgbClr val="00FF00"/>
                </a:solidFill>
              </a:ln>
            </c:spPr>
          </c:marker>
          <c:cat>
            <c:numRef>
              <c:f>'Graph Linear'!$AB$2:$AB$42</c:f>
              <c:numCache>
                <c:ptCount val="41"/>
                <c:pt idx="0">
                  <c:v>0</c:v>
                </c:pt>
                <c:pt idx="1">
                  <c:v>2.75</c:v>
                </c:pt>
                <c:pt idx="2">
                  <c:v>5.5</c:v>
                </c:pt>
                <c:pt idx="3">
                  <c:v>8.250000000000002</c:v>
                </c:pt>
                <c:pt idx="4">
                  <c:v>11</c:v>
                </c:pt>
                <c:pt idx="5">
                  <c:v>13.75</c:v>
                </c:pt>
                <c:pt idx="6">
                  <c:v>16.5</c:v>
                </c:pt>
                <c:pt idx="7">
                  <c:v>19.25</c:v>
                </c:pt>
                <c:pt idx="8">
                  <c:v>21.999999999999996</c:v>
                </c:pt>
                <c:pt idx="9">
                  <c:v>24.749999999999996</c:v>
                </c:pt>
                <c:pt idx="10">
                  <c:v>27.499999999999996</c:v>
                </c:pt>
                <c:pt idx="11">
                  <c:v>30.249999999999996</c:v>
                </c:pt>
                <c:pt idx="12">
                  <c:v>33</c:v>
                </c:pt>
                <c:pt idx="13">
                  <c:v>35.75</c:v>
                </c:pt>
                <c:pt idx="14">
                  <c:v>38.50000000000001</c:v>
                </c:pt>
                <c:pt idx="15">
                  <c:v>41.25000000000001</c:v>
                </c:pt>
                <c:pt idx="16">
                  <c:v>44.00000000000001</c:v>
                </c:pt>
                <c:pt idx="17">
                  <c:v>46.750000000000014</c:v>
                </c:pt>
                <c:pt idx="18">
                  <c:v>49.500000000000014</c:v>
                </c:pt>
                <c:pt idx="19">
                  <c:v>52.250000000000014</c:v>
                </c:pt>
                <c:pt idx="20">
                  <c:v>55.000000000000014</c:v>
                </c:pt>
                <c:pt idx="21">
                  <c:v>57.750000000000014</c:v>
                </c:pt>
                <c:pt idx="22">
                  <c:v>60.500000000000014</c:v>
                </c:pt>
                <c:pt idx="23">
                  <c:v>63.25000000000002</c:v>
                </c:pt>
                <c:pt idx="24">
                  <c:v>66.00000000000003</c:v>
                </c:pt>
                <c:pt idx="25">
                  <c:v>68.75000000000003</c:v>
                </c:pt>
                <c:pt idx="26">
                  <c:v>71.50000000000003</c:v>
                </c:pt>
                <c:pt idx="27">
                  <c:v>74.25000000000003</c:v>
                </c:pt>
                <c:pt idx="28">
                  <c:v>77.00000000000003</c:v>
                </c:pt>
                <c:pt idx="29">
                  <c:v>79.75000000000003</c:v>
                </c:pt>
                <c:pt idx="30">
                  <c:v>82.50000000000004</c:v>
                </c:pt>
                <c:pt idx="31">
                  <c:v>85.25000000000004</c:v>
                </c:pt>
                <c:pt idx="32">
                  <c:v>88.00000000000004</c:v>
                </c:pt>
                <c:pt idx="33">
                  <c:v>90.75000000000004</c:v>
                </c:pt>
                <c:pt idx="34">
                  <c:v>93.50000000000004</c:v>
                </c:pt>
                <c:pt idx="35">
                  <c:v>96.25000000000004</c:v>
                </c:pt>
                <c:pt idx="36">
                  <c:v>99.00000000000006</c:v>
                </c:pt>
                <c:pt idx="37">
                  <c:v>101.75000000000006</c:v>
                </c:pt>
                <c:pt idx="38">
                  <c:v>104.50000000000006</c:v>
                </c:pt>
                <c:pt idx="39">
                  <c:v>107.25000000000006</c:v>
                </c:pt>
                <c:pt idx="40">
                  <c:v>110.00000000000004</c:v>
                </c:pt>
              </c:numCache>
            </c:numRef>
          </c:cat>
          <c:val>
            <c:numRef>
              <c:f>'Graph Linear'!$AE$2:$AE$42</c:f>
              <c:numCache>
                <c:ptCount val="41"/>
                <c:pt idx="0">
                  <c:v>130</c:v>
                </c:pt>
                <c:pt idx="1">
                  <c:v>122.85</c:v>
                </c:pt>
                <c:pt idx="2">
                  <c:v>115.7</c:v>
                </c:pt>
                <c:pt idx="3">
                  <c:v>108.55</c:v>
                </c:pt>
                <c:pt idx="4">
                  <c:v>101.4</c:v>
                </c:pt>
                <c:pt idx="5">
                  <c:v>94.25</c:v>
                </c:pt>
                <c:pt idx="6">
                  <c:v>87.1</c:v>
                </c:pt>
                <c:pt idx="7">
                  <c:v>79.94999999999999</c:v>
                </c:pt>
                <c:pt idx="8">
                  <c:v>72.80000000000001</c:v>
                </c:pt>
                <c:pt idx="9">
                  <c:v>65.65</c:v>
                </c:pt>
                <c:pt idx="10">
                  <c:v>58.5</c:v>
                </c:pt>
                <c:pt idx="11">
                  <c:v>51.35000000000001</c:v>
                </c:pt>
                <c:pt idx="12">
                  <c:v>44.2</c:v>
                </c:pt>
                <c:pt idx="13">
                  <c:v>37.05</c:v>
                </c:pt>
                <c:pt idx="14">
                  <c:v>29.899999999999977</c:v>
                </c:pt>
                <c:pt idx="15">
                  <c:v>22.74999999999997</c:v>
                </c:pt>
                <c:pt idx="16">
                  <c:v>15.59999999999998</c:v>
                </c:pt>
                <c:pt idx="17">
                  <c:v>8.44999999999996</c:v>
                </c:pt>
                <c:pt idx="18">
                  <c:v>1.2999999999999545</c:v>
                </c:pt>
                <c:pt idx="19">
                  <c:v>-5.850000000000051</c:v>
                </c:pt>
                <c:pt idx="20">
                  <c:v>-13.000000000000028</c:v>
                </c:pt>
                <c:pt idx="21">
                  <c:v>-20.150000000000034</c:v>
                </c:pt>
                <c:pt idx="22">
                  <c:v>-27.30000000000004</c:v>
                </c:pt>
                <c:pt idx="23">
                  <c:v>-34.450000000000074</c:v>
                </c:pt>
                <c:pt idx="24">
                  <c:v>-41.60000000000008</c:v>
                </c:pt>
                <c:pt idx="25">
                  <c:v>-48.750000000000085</c:v>
                </c:pt>
                <c:pt idx="26">
                  <c:v>-55.90000000000009</c:v>
                </c:pt>
                <c:pt idx="27">
                  <c:v>-63.05000000000007</c:v>
                </c:pt>
                <c:pt idx="28">
                  <c:v>-70.20000000000007</c:v>
                </c:pt>
                <c:pt idx="29">
                  <c:v>-77.35000000000008</c:v>
                </c:pt>
                <c:pt idx="30">
                  <c:v>-84.50000000000011</c:v>
                </c:pt>
                <c:pt idx="31">
                  <c:v>-91.65000000000012</c:v>
                </c:pt>
                <c:pt idx="32">
                  <c:v>-98.80000000000013</c:v>
                </c:pt>
                <c:pt idx="33">
                  <c:v>-105.95000000000013</c:v>
                </c:pt>
                <c:pt idx="34">
                  <c:v>-113.10000000000011</c:v>
                </c:pt>
                <c:pt idx="35">
                  <c:v>-120.25000000000011</c:v>
                </c:pt>
                <c:pt idx="36">
                  <c:v>-127.40000000000015</c:v>
                </c:pt>
                <c:pt idx="37">
                  <c:v>-134.55000000000018</c:v>
                </c:pt>
                <c:pt idx="38">
                  <c:v>-141.70000000000016</c:v>
                </c:pt>
                <c:pt idx="39">
                  <c:v>-148.85000000000014</c:v>
                </c:pt>
                <c:pt idx="40">
                  <c:v>-156.0000000000001</c:v>
                </c:pt>
              </c:numCache>
            </c:numRef>
          </c:val>
          <c:smooth val="1"/>
        </c:ser>
        <c:axId val="601486"/>
        <c:axId val="5413375"/>
      </c:lineChart>
      <c:catAx>
        <c:axId val="601486"/>
        <c:scaling>
          <c:orientation val="minMax"/>
        </c:scaling>
        <c:axPos val="b"/>
        <c:title>
          <c:tx>
            <c:rich>
              <a:bodyPr vert="horz" rot="0" anchor="ctr"/>
              <a:lstStyle/>
              <a:p>
                <a:pPr algn="ctr">
                  <a:defRPr/>
                </a:pPr>
                <a:r>
                  <a:rPr lang="en-US" cap="none" sz="1100" b="1" i="0" u="none" baseline="0"/>
                  <a:t>Good X</a:t>
                </a:r>
              </a:p>
            </c:rich>
          </c:tx>
          <c:layout>
            <c:manualLayout>
              <c:xMode val="factor"/>
              <c:yMode val="factor"/>
              <c:x val="-0.02125"/>
              <c:y val="-0.00875"/>
            </c:manualLayout>
          </c:layout>
          <c:overlay val="0"/>
          <c:spPr>
            <a:noFill/>
            <a:ln>
              <a:noFill/>
            </a:ln>
          </c:spPr>
        </c:title>
        <c:delete val="0"/>
        <c:numFmt formatCode="General" sourceLinked="1"/>
        <c:majorTickMark val="cross"/>
        <c:minorTickMark val="none"/>
        <c:tickLblPos val="nextTo"/>
        <c:spPr>
          <a:ln w="25400">
            <a:solidFill/>
          </a:ln>
        </c:spPr>
        <c:crossAx val="5413375"/>
        <c:crosses val="autoZero"/>
        <c:auto val="0"/>
        <c:lblOffset val="100"/>
        <c:tickLblSkip val="10"/>
        <c:tickMarkSkip val="10"/>
        <c:noMultiLvlLbl val="0"/>
      </c:catAx>
      <c:valAx>
        <c:axId val="5413375"/>
        <c:scaling>
          <c:orientation val="minMax"/>
          <c:min val="0"/>
        </c:scaling>
        <c:axPos val="l"/>
        <c:title>
          <c:tx>
            <c:rich>
              <a:bodyPr vert="horz" rot="-5400000" anchor="ctr"/>
              <a:lstStyle/>
              <a:p>
                <a:pPr algn="ctr">
                  <a:defRPr/>
                </a:pPr>
                <a:r>
                  <a:rPr lang="en-US" cap="none" sz="1100" b="1" i="0" u="none" baseline="0"/>
                  <a:t>Good Y</a:t>
                </a:r>
              </a:p>
            </c:rich>
          </c:tx>
          <c:layout/>
          <c:overlay val="0"/>
          <c:spPr>
            <a:noFill/>
            <a:ln>
              <a:noFill/>
            </a:ln>
          </c:spPr>
        </c:title>
        <c:delete val="0"/>
        <c:numFmt formatCode="General" sourceLinked="1"/>
        <c:majorTickMark val="in"/>
        <c:minorTickMark val="none"/>
        <c:tickLblPos val="nextTo"/>
        <c:spPr>
          <a:ln w="25400">
            <a:solidFill/>
          </a:ln>
        </c:spPr>
        <c:crossAx val="601486"/>
        <c:crossesAt val="1"/>
        <c:crossBetween val="midCat"/>
        <c:dispUnits/>
        <c:minorUnit val="10"/>
      </c:valAx>
      <c:spPr>
        <a:noFill/>
        <a:ln>
          <a:noFill/>
        </a:ln>
      </c:spPr>
    </c:plotArea>
    <c:legend>
      <c:legendPos val="r"/>
      <c:layout>
        <c:manualLayout>
          <c:xMode val="edge"/>
          <c:yMode val="edge"/>
          <c:x val="0.781"/>
          <c:y val="0.0805"/>
          <c:w val="0.219"/>
          <c:h val="0.10825"/>
        </c:manualLayout>
      </c:layout>
      <c:overlay val="0"/>
      <c:spPr>
        <a:noFill/>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Gains from Specializing, Given Prices</a:t>
            </a:r>
          </a:p>
        </c:rich>
      </c:tx>
      <c:layout>
        <c:manualLayout>
          <c:xMode val="factor"/>
          <c:yMode val="factor"/>
          <c:x val="0.0055"/>
          <c:y val="-0.01975"/>
        </c:manualLayout>
      </c:layout>
      <c:spPr>
        <a:noFill/>
        <a:ln>
          <a:noFill/>
        </a:ln>
      </c:spPr>
    </c:title>
    <c:plotArea>
      <c:layout>
        <c:manualLayout>
          <c:xMode val="edge"/>
          <c:yMode val="edge"/>
          <c:x val="0.01925"/>
          <c:y val="0.03225"/>
          <c:w val="0.98075"/>
          <c:h val="0.93525"/>
        </c:manualLayout>
      </c:layout>
      <c:scatterChart>
        <c:scatterStyle val="smooth"/>
        <c:varyColors val="0"/>
        <c:ser>
          <c:idx val="0"/>
          <c:order val="0"/>
          <c:tx>
            <c:strRef>
              <c:f>'Production &amp; Consumption'!$AB$1</c:f>
              <c:strCache>
                <c:ptCount val="1"/>
                <c:pt idx="0">
                  <c:v>Ya_prod</c:v>
                </c:pt>
              </c:strCache>
            </c:strRef>
          </c:tx>
          <c:spPr>
            <a:ln w="12700">
              <a:solidFill>
                <a:srgbClr val="CC99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'Production &amp; Consumption'!$AA$2:$AA$28</c:f>
              <c:numCache>
                <c:ptCount val="2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120</c:v>
                </c:pt>
                <c:pt idx="19">
                  <c:v>130</c:v>
                </c:pt>
                <c:pt idx="20">
                  <c:v>140</c:v>
                </c:pt>
                <c:pt idx="21">
                  <c:v>150</c:v>
                </c:pt>
                <c:pt idx="22">
                  <c:v>160</c:v>
                </c:pt>
                <c:pt idx="23">
                  <c:v>170</c:v>
                </c:pt>
                <c:pt idx="24">
                  <c:v>180</c:v>
                </c:pt>
                <c:pt idx="25">
                  <c:v>190</c:v>
                </c:pt>
                <c:pt idx="26">
                  <c:v>200</c:v>
                </c:pt>
              </c:numCache>
            </c:numRef>
          </c:xVal>
          <c:yVal>
            <c:numRef>
              <c:f>'Production &amp; Consumption'!$AB$2:$AB$28</c:f>
              <c:numCache>
                <c:ptCount val="27"/>
                <c:pt idx="0">
                  <c:v>150</c:v>
                </c:pt>
                <c:pt idx="1">
                  <c:v>125</c:v>
                </c:pt>
                <c:pt idx="2">
                  <c:v>100</c:v>
                </c:pt>
                <c:pt idx="3">
                  <c:v>75</c:v>
                </c:pt>
                <c:pt idx="4">
                  <c:v>50</c:v>
                </c:pt>
                <c:pt idx="5">
                  <c:v>25</c:v>
                </c:pt>
                <c:pt idx="6">
                  <c:v>0</c:v>
                </c:pt>
                <c:pt idx="7">
                  <c:v>-25</c:v>
                </c:pt>
                <c:pt idx="8">
                  <c:v>-50</c:v>
                </c:pt>
                <c:pt idx="9">
                  <c:v>-75</c:v>
                </c:pt>
                <c:pt idx="10">
                  <c:v>-100</c:v>
                </c:pt>
                <c:pt idx="11">
                  <c:v>-125</c:v>
                </c:pt>
                <c:pt idx="12">
                  <c:v>-150</c:v>
                </c:pt>
                <c:pt idx="13">
                  <c:v>-175</c:v>
                </c:pt>
                <c:pt idx="14">
                  <c:v>-200</c:v>
                </c:pt>
                <c:pt idx="15">
                  <c:v>-225</c:v>
                </c:pt>
                <c:pt idx="16">
                  <c:v>-250</c:v>
                </c:pt>
                <c:pt idx="17">
                  <c:v>-275</c:v>
                </c:pt>
                <c:pt idx="18">
                  <c:v>-150</c:v>
                </c:pt>
                <c:pt idx="19">
                  <c:v>-175</c:v>
                </c:pt>
                <c:pt idx="20">
                  <c:v>-200</c:v>
                </c:pt>
                <c:pt idx="21">
                  <c:v>-225</c:v>
                </c:pt>
                <c:pt idx="22">
                  <c:v>-250</c:v>
                </c:pt>
                <c:pt idx="23">
                  <c:v>-275</c:v>
                </c:pt>
                <c:pt idx="24">
                  <c:v>-300</c:v>
                </c:pt>
                <c:pt idx="25">
                  <c:v>-325</c:v>
                </c:pt>
                <c:pt idx="26">
                  <c:v>-350</c:v>
                </c:pt>
              </c:numCache>
            </c:numRef>
          </c:yVal>
          <c:smooth val="1"/>
        </c:ser>
        <c:ser>
          <c:idx val="1"/>
          <c:order val="1"/>
          <c:tx>
            <c:strRef>
              <c:f>'Production &amp; Consumption'!$AC$1</c:f>
              <c:strCache>
                <c:ptCount val="1"/>
                <c:pt idx="0">
                  <c:v>Ya_cons</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'Production &amp; Consumption'!$AA$2:$AA$28</c:f>
              <c:numCache>
                <c:ptCount val="2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120</c:v>
                </c:pt>
                <c:pt idx="19">
                  <c:v>130</c:v>
                </c:pt>
                <c:pt idx="20">
                  <c:v>140</c:v>
                </c:pt>
                <c:pt idx="21">
                  <c:v>150</c:v>
                </c:pt>
                <c:pt idx="22">
                  <c:v>160</c:v>
                </c:pt>
                <c:pt idx="23">
                  <c:v>170</c:v>
                </c:pt>
                <c:pt idx="24">
                  <c:v>180</c:v>
                </c:pt>
                <c:pt idx="25">
                  <c:v>190</c:v>
                </c:pt>
                <c:pt idx="26">
                  <c:v>200</c:v>
                </c:pt>
              </c:numCache>
            </c:numRef>
          </c:xVal>
          <c:yVal>
            <c:numRef>
              <c:f>'Production &amp; Consumption'!$AC$2:$AC$28</c:f>
              <c:numCache>
                <c:ptCount val="27"/>
                <c:pt idx="0">
                  <c:v>150</c:v>
                </c:pt>
                <c:pt idx="1">
                  <c:v>125</c:v>
                </c:pt>
                <c:pt idx="2">
                  <c:v>100</c:v>
                </c:pt>
                <c:pt idx="3">
                  <c:v>75</c:v>
                </c:pt>
                <c:pt idx="4">
                  <c:v>50</c:v>
                </c:pt>
                <c:pt idx="5">
                  <c:v>25</c:v>
                </c:pt>
                <c:pt idx="6">
                  <c:v>0</c:v>
                </c:pt>
                <c:pt idx="7">
                  <c:v>-25</c:v>
                </c:pt>
                <c:pt idx="8">
                  <c:v>-50</c:v>
                </c:pt>
                <c:pt idx="9">
                  <c:v>-75</c:v>
                </c:pt>
                <c:pt idx="10">
                  <c:v>-100</c:v>
                </c:pt>
                <c:pt idx="11">
                  <c:v>-125</c:v>
                </c:pt>
                <c:pt idx="12">
                  <c:v>-150</c:v>
                </c:pt>
                <c:pt idx="13">
                  <c:v>-175</c:v>
                </c:pt>
                <c:pt idx="14">
                  <c:v>-200</c:v>
                </c:pt>
                <c:pt idx="15">
                  <c:v>-225</c:v>
                </c:pt>
                <c:pt idx="16">
                  <c:v>-250</c:v>
                </c:pt>
                <c:pt idx="17">
                  <c:v>-275</c:v>
                </c:pt>
                <c:pt idx="18">
                  <c:v>-150</c:v>
                </c:pt>
                <c:pt idx="19">
                  <c:v>-175</c:v>
                </c:pt>
                <c:pt idx="20">
                  <c:v>-200</c:v>
                </c:pt>
                <c:pt idx="21">
                  <c:v>-225</c:v>
                </c:pt>
                <c:pt idx="22">
                  <c:v>-250</c:v>
                </c:pt>
                <c:pt idx="23">
                  <c:v>-275</c:v>
                </c:pt>
                <c:pt idx="24">
                  <c:v>-300</c:v>
                </c:pt>
                <c:pt idx="25">
                  <c:v>-325</c:v>
                </c:pt>
                <c:pt idx="26">
                  <c:v>-350</c:v>
                </c:pt>
              </c:numCache>
            </c:numRef>
          </c:yVal>
          <c:smooth val="1"/>
        </c:ser>
        <c:ser>
          <c:idx val="2"/>
          <c:order val="2"/>
          <c:tx>
            <c:strRef>
              <c:f>'Production &amp; Consumption'!$AD$1</c:f>
              <c:strCache>
                <c:ptCount val="1"/>
                <c:pt idx="0">
                  <c:v>Yb_prod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'Production &amp; Consumption'!$AA$2:$AA$28</c:f>
              <c:numCache>
                <c:ptCount val="2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120</c:v>
                </c:pt>
                <c:pt idx="19">
                  <c:v>130</c:v>
                </c:pt>
                <c:pt idx="20">
                  <c:v>140</c:v>
                </c:pt>
                <c:pt idx="21">
                  <c:v>150</c:v>
                </c:pt>
                <c:pt idx="22">
                  <c:v>160</c:v>
                </c:pt>
                <c:pt idx="23">
                  <c:v>170</c:v>
                </c:pt>
                <c:pt idx="24">
                  <c:v>180</c:v>
                </c:pt>
                <c:pt idx="25">
                  <c:v>190</c:v>
                </c:pt>
                <c:pt idx="26">
                  <c:v>200</c:v>
                </c:pt>
              </c:numCache>
            </c:numRef>
          </c:xVal>
          <c:yVal>
            <c:numRef>
              <c:f>'Production &amp; Consumption'!$AD$2:$AD$28</c:f>
              <c:numCache>
                <c:ptCount val="27"/>
                <c:pt idx="0">
                  <c:v>130</c:v>
                </c:pt>
                <c:pt idx="1">
                  <c:v>104</c:v>
                </c:pt>
                <c:pt idx="2">
                  <c:v>78</c:v>
                </c:pt>
                <c:pt idx="3">
                  <c:v>52</c:v>
                </c:pt>
                <c:pt idx="4">
                  <c:v>26</c:v>
                </c:pt>
                <c:pt idx="5">
                  <c:v>0</c:v>
                </c:pt>
                <c:pt idx="6">
                  <c:v>-26</c:v>
                </c:pt>
                <c:pt idx="7">
                  <c:v>-52</c:v>
                </c:pt>
                <c:pt idx="8">
                  <c:v>-78</c:v>
                </c:pt>
                <c:pt idx="9">
                  <c:v>-104</c:v>
                </c:pt>
                <c:pt idx="10">
                  <c:v>-130</c:v>
                </c:pt>
                <c:pt idx="11">
                  <c:v>-156</c:v>
                </c:pt>
                <c:pt idx="12">
                  <c:v>-182</c:v>
                </c:pt>
                <c:pt idx="13">
                  <c:v>-208</c:v>
                </c:pt>
                <c:pt idx="14">
                  <c:v>-234</c:v>
                </c:pt>
                <c:pt idx="15">
                  <c:v>-260</c:v>
                </c:pt>
                <c:pt idx="16">
                  <c:v>-286</c:v>
                </c:pt>
                <c:pt idx="17">
                  <c:v>-312</c:v>
                </c:pt>
                <c:pt idx="18">
                  <c:v>-182</c:v>
                </c:pt>
                <c:pt idx="19">
                  <c:v>-208</c:v>
                </c:pt>
                <c:pt idx="20">
                  <c:v>-234</c:v>
                </c:pt>
                <c:pt idx="21">
                  <c:v>-260</c:v>
                </c:pt>
                <c:pt idx="22">
                  <c:v>-286</c:v>
                </c:pt>
                <c:pt idx="23">
                  <c:v>-312</c:v>
                </c:pt>
                <c:pt idx="24">
                  <c:v>-338</c:v>
                </c:pt>
                <c:pt idx="25">
                  <c:v>-364</c:v>
                </c:pt>
                <c:pt idx="26">
                  <c:v>-390</c:v>
                </c:pt>
              </c:numCache>
            </c:numRef>
          </c:yVal>
          <c:smooth val="1"/>
        </c:ser>
        <c:ser>
          <c:idx val="3"/>
          <c:order val="3"/>
          <c:tx>
            <c:strRef>
              <c:f>'Production &amp; Consumption'!$AE$1</c:f>
              <c:strCache>
                <c:ptCount val="1"/>
                <c:pt idx="0">
                  <c:v>Yb_cons</c:v>
                </c:pt>
              </c:strCache>
            </c:strRef>
          </c:tx>
          <c:spPr>
            <a:ln w="3175">
              <a:solidFill>
                <a:srgbClr val="00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'Production &amp; Consumption'!$AA$2:$AA$28</c:f>
              <c:numCache>
                <c:ptCount val="2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120</c:v>
                </c:pt>
                <c:pt idx="19">
                  <c:v>130</c:v>
                </c:pt>
                <c:pt idx="20">
                  <c:v>140</c:v>
                </c:pt>
                <c:pt idx="21">
                  <c:v>150</c:v>
                </c:pt>
                <c:pt idx="22">
                  <c:v>160</c:v>
                </c:pt>
                <c:pt idx="23">
                  <c:v>170</c:v>
                </c:pt>
                <c:pt idx="24">
                  <c:v>180</c:v>
                </c:pt>
                <c:pt idx="25">
                  <c:v>190</c:v>
                </c:pt>
                <c:pt idx="26">
                  <c:v>200</c:v>
                </c:pt>
              </c:numCache>
            </c:numRef>
          </c:xVal>
          <c:yVal>
            <c:numRef>
              <c:f>'Production &amp; Consumption'!$AE$2:$AE$28</c:f>
              <c:numCache>
                <c:ptCount val="27"/>
                <c:pt idx="0">
                  <c:v>130</c:v>
                </c:pt>
                <c:pt idx="1">
                  <c:v>105</c:v>
                </c:pt>
                <c:pt idx="2">
                  <c:v>80</c:v>
                </c:pt>
                <c:pt idx="3">
                  <c:v>55</c:v>
                </c:pt>
                <c:pt idx="4">
                  <c:v>30</c:v>
                </c:pt>
                <c:pt idx="5">
                  <c:v>5</c:v>
                </c:pt>
                <c:pt idx="6">
                  <c:v>-20</c:v>
                </c:pt>
                <c:pt idx="7">
                  <c:v>-45</c:v>
                </c:pt>
                <c:pt idx="8">
                  <c:v>-70</c:v>
                </c:pt>
                <c:pt idx="9">
                  <c:v>-95</c:v>
                </c:pt>
                <c:pt idx="10">
                  <c:v>-120</c:v>
                </c:pt>
                <c:pt idx="11">
                  <c:v>-145</c:v>
                </c:pt>
                <c:pt idx="12">
                  <c:v>-170</c:v>
                </c:pt>
                <c:pt idx="13">
                  <c:v>-195</c:v>
                </c:pt>
                <c:pt idx="14">
                  <c:v>-220</c:v>
                </c:pt>
                <c:pt idx="15">
                  <c:v>-245</c:v>
                </c:pt>
                <c:pt idx="16">
                  <c:v>-270</c:v>
                </c:pt>
                <c:pt idx="17">
                  <c:v>-295</c:v>
                </c:pt>
                <c:pt idx="18">
                  <c:v>-170</c:v>
                </c:pt>
                <c:pt idx="19">
                  <c:v>-195</c:v>
                </c:pt>
                <c:pt idx="20">
                  <c:v>-220</c:v>
                </c:pt>
                <c:pt idx="21">
                  <c:v>-245</c:v>
                </c:pt>
                <c:pt idx="22">
                  <c:v>-270</c:v>
                </c:pt>
                <c:pt idx="23">
                  <c:v>-295</c:v>
                </c:pt>
                <c:pt idx="24">
                  <c:v>-320</c:v>
                </c:pt>
                <c:pt idx="25">
                  <c:v>-345</c:v>
                </c:pt>
                <c:pt idx="26">
                  <c:v>-370</c:v>
                </c:pt>
              </c:numCache>
            </c:numRef>
          </c:yVal>
          <c:smooth val="1"/>
        </c:ser>
        <c:axId val="48720376"/>
        <c:axId val="35830201"/>
      </c:scatterChart>
      <c:valAx>
        <c:axId val="48720376"/>
        <c:scaling>
          <c:orientation val="minMax"/>
        </c:scaling>
        <c:axPos val="b"/>
        <c:title>
          <c:tx>
            <c:rich>
              <a:bodyPr vert="horz" rot="0" anchor="ctr"/>
              <a:lstStyle/>
              <a:p>
                <a:pPr algn="ctr">
                  <a:defRPr/>
                </a:pPr>
                <a:r>
                  <a:rPr lang="en-US" cap="none" sz="1100" b="1" i="0" u="none" baseline="0"/>
                  <a:t>Good X</a:t>
                </a:r>
              </a:p>
            </c:rich>
          </c:tx>
          <c:layout/>
          <c:overlay val="0"/>
          <c:spPr>
            <a:noFill/>
            <a:ln>
              <a:noFill/>
            </a:ln>
          </c:spPr>
        </c:title>
        <c:delete val="0"/>
        <c:numFmt formatCode="General" sourceLinked="1"/>
        <c:majorTickMark val="out"/>
        <c:minorTickMark val="none"/>
        <c:tickLblPos val="nextTo"/>
        <c:crossAx val="35830201"/>
        <c:crosses val="autoZero"/>
        <c:crossBetween val="midCat"/>
        <c:dispUnits/>
      </c:valAx>
      <c:valAx>
        <c:axId val="35830201"/>
        <c:scaling>
          <c:orientation val="minMax"/>
          <c:min val="0"/>
        </c:scaling>
        <c:axPos val="l"/>
        <c:title>
          <c:tx>
            <c:rich>
              <a:bodyPr vert="horz" rot="-5400000" anchor="ctr"/>
              <a:lstStyle/>
              <a:p>
                <a:pPr algn="ctr">
                  <a:defRPr/>
                </a:pPr>
                <a:r>
                  <a:rPr lang="en-US" cap="none" sz="1100" b="1" i="0" u="none" baseline="0"/>
                  <a:t>Good Y</a:t>
                </a:r>
              </a:p>
            </c:rich>
          </c:tx>
          <c:layout/>
          <c:overlay val="0"/>
          <c:spPr>
            <a:noFill/>
            <a:ln>
              <a:noFill/>
            </a:ln>
          </c:spPr>
        </c:title>
        <c:delete val="0"/>
        <c:numFmt formatCode="General" sourceLinked="1"/>
        <c:majorTickMark val="out"/>
        <c:minorTickMark val="none"/>
        <c:tickLblPos val="nextTo"/>
        <c:crossAx val="48720376"/>
        <c:crosses val="autoZero"/>
        <c:crossBetween val="midCat"/>
        <c:dispUnits/>
      </c:valAx>
      <c:spPr>
        <a:noFill/>
        <a:ln>
          <a:noFill/>
        </a:ln>
      </c:spPr>
    </c:plotArea>
    <c:legend>
      <c:legendPos val="r"/>
      <c:layout>
        <c:manualLayout>
          <c:xMode val="edge"/>
          <c:yMode val="edge"/>
          <c:x val="0.7255"/>
          <c:y val="0.0705"/>
          <c:w val="0.2745"/>
          <c:h val="0.141"/>
        </c:manualLayout>
      </c:layout>
      <c:overlay val="0"/>
      <c:spPr>
        <a:noFill/>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A's PPC &amp; CPC</a:t>
            </a:r>
          </a:p>
        </c:rich>
      </c:tx>
      <c:layout>
        <c:manualLayout>
          <c:xMode val="factor"/>
          <c:yMode val="factor"/>
          <c:x val="-0.00625"/>
          <c:y val="-0.01925"/>
        </c:manualLayout>
      </c:layout>
      <c:spPr>
        <a:noFill/>
        <a:ln>
          <a:noFill/>
        </a:ln>
      </c:spPr>
    </c:title>
    <c:plotArea>
      <c:layout>
        <c:manualLayout>
          <c:xMode val="edge"/>
          <c:yMode val="edge"/>
          <c:x val="0.04125"/>
          <c:y val="0.039"/>
          <c:w val="0.95875"/>
          <c:h val="0.929"/>
        </c:manualLayout>
      </c:layout>
      <c:scatterChart>
        <c:scatterStyle val="smooth"/>
        <c:varyColors val="0"/>
        <c:ser>
          <c:idx val="0"/>
          <c:order val="0"/>
          <c:tx>
            <c:strRef>
              <c:f>'Nonlinear PPCs &amp; CPCs'!$AC$3</c:f>
              <c:strCache>
                <c:ptCount val="1"/>
                <c:pt idx="0">
                  <c:v>PPC_a</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'Nonlinear PPCs &amp; CPCs'!$AC$4:$AC$24</c:f>
              <c:numCache>
                <c:ptCount val="21"/>
                <c:pt idx="0">
                  <c:v>90</c:v>
                </c:pt>
                <c:pt idx="1">
                  <c:v>89.775</c:v>
                </c:pt>
                <c:pt idx="2">
                  <c:v>89.1</c:v>
                </c:pt>
                <c:pt idx="3">
                  <c:v>87.975</c:v>
                </c:pt>
                <c:pt idx="4">
                  <c:v>86.4</c:v>
                </c:pt>
                <c:pt idx="5">
                  <c:v>84.375</c:v>
                </c:pt>
                <c:pt idx="6">
                  <c:v>81.9</c:v>
                </c:pt>
                <c:pt idx="7">
                  <c:v>78.975</c:v>
                </c:pt>
                <c:pt idx="8">
                  <c:v>75.60000000000001</c:v>
                </c:pt>
                <c:pt idx="9">
                  <c:v>71.775</c:v>
                </c:pt>
                <c:pt idx="10">
                  <c:v>67.5</c:v>
                </c:pt>
                <c:pt idx="11">
                  <c:v>62.775000000000006</c:v>
                </c:pt>
                <c:pt idx="12">
                  <c:v>57.6</c:v>
                </c:pt>
                <c:pt idx="13">
                  <c:v>51.975</c:v>
                </c:pt>
                <c:pt idx="14">
                  <c:v>45.89999999999998</c:v>
                </c:pt>
                <c:pt idx="15">
                  <c:v>39.37499999999998</c:v>
                </c:pt>
                <c:pt idx="16">
                  <c:v>32.39999999999998</c:v>
                </c:pt>
                <c:pt idx="17">
                  <c:v>24.974999999999966</c:v>
                </c:pt>
                <c:pt idx="18">
                  <c:v>17.099999999999966</c:v>
                </c:pt>
                <c:pt idx="19">
                  <c:v>8.774999999999949</c:v>
                </c:pt>
                <c:pt idx="20">
                  <c:v>0</c:v>
                </c:pt>
              </c:numCache>
            </c:numRef>
          </c:yVal>
          <c:smooth val="1"/>
        </c:ser>
        <c:ser>
          <c:idx val="1"/>
          <c:order val="1"/>
          <c:tx>
            <c:strRef>
              <c:f>'Nonlinear PPCs &amp; CPCs'!$AD$3</c:f>
              <c:strCache>
                <c:ptCount val="1"/>
                <c:pt idx="0">
                  <c:v>CPC_a</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'Nonlinear PPCs &amp; CPCs'!$AD$4:$AD$24</c:f>
              <c:numCache>
                <c:ptCount val="21"/>
                <c:pt idx="0">
                  <c:v>171.6326530612245</c:v>
                </c:pt>
                <c:pt idx="1">
                  <c:v>163.0612244897959</c:v>
                </c:pt>
                <c:pt idx="2">
                  <c:v>154.48979591836735</c:v>
                </c:pt>
                <c:pt idx="3">
                  <c:v>145.91836734693877</c:v>
                </c:pt>
                <c:pt idx="4">
                  <c:v>137.3469387755102</c:v>
                </c:pt>
                <c:pt idx="5">
                  <c:v>128.77551020408163</c:v>
                </c:pt>
                <c:pt idx="6">
                  <c:v>120.20408163265306</c:v>
                </c:pt>
                <c:pt idx="7">
                  <c:v>111.63265306122449</c:v>
                </c:pt>
                <c:pt idx="8">
                  <c:v>103.06122448979592</c:v>
                </c:pt>
                <c:pt idx="9">
                  <c:v>94.48979591836735</c:v>
                </c:pt>
                <c:pt idx="10">
                  <c:v>85.91836734693878</c:v>
                </c:pt>
                <c:pt idx="11">
                  <c:v>77.34693877551022</c:v>
                </c:pt>
                <c:pt idx="12">
                  <c:v>68.77551020408163</c:v>
                </c:pt>
                <c:pt idx="13">
                  <c:v>60.20408163265306</c:v>
                </c:pt>
                <c:pt idx="14">
                  <c:v>51.63265306122446</c:v>
                </c:pt>
                <c:pt idx="15">
                  <c:v>43.061224489795904</c:v>
                </c:pt>
                <c:pt idx="16">
                  <c:v>34.48979591836732</c:v>
                </c:pt>
                <c:pt idx="17">
                  <c:v>25.918367346938737</c:v>
                </c:pt>
                <c:pt idx="18">
                  <c:v>17.346938775510154</c:v>
                </c:pt>
                <c:pt idx="19">
                  <c:v>8.775510204081598</c:v>
                </c:pt>
                <c:pt idx="20">
                  <c:v>0.20408163265301482</c:v>
                </c:pt>
              </c:numCache>
            </c:numRef>
          </c:yVal>
          <c:smooth val="1"/>
        </c:ser>
        <c:axId val="54036354"/>
        <c:axId val="16565139"/>
      </c:scatterChart>
      <c:valAx>
        <c:axId val="54036354"/>
        <c:scaling>
          <c:orientation val="minMax"/>
        </c:scaling>
        <c:axPos val="b"/>
        <c:title>
          <c:tx>
            <c:rich>
              <a:bodyPr vert="horz" rot="0" anchor="ctr"/>
              <a:lstStyle/>
              <a:p>
                <a:pPr algn="ctr">
                  <a:defRPr/>
                </a:pPr>
                <a:r>
                  <a:rPr lang="en-US" cap="none" sz="1100" b="1" i="0" u="none" baseline="0"/>
                  <a:t>Good X</a:t>
                </a:r>
              </a:p>
            </c:rich>
          </c:tx>
          <c:layout>
            <c:manualLayout>
              <c:xMode val="factor"/>
              <c:yMode val="factor"/>
              <c:x val="0.0065"/>
              <c:y val="0.00125"/>
            </c:manualLayout>
          </c:layout>
          <c:overlay val="0"/>
          <c:spPr>
            <a:noFill/>
            <a:ln>
              <a:noFill/>
            </a:ln>
          </c:spPr>
        </c:title>
        <c:delete val="0"/>
        <c:numFmt formatCode="General" sourceLinked="1"/>
        <c:majorTickMark val="in"/>
        <c:minorTickMark val="none"/>
        <c:tickLblPos val="nextTo"/>
        <c:crossAx val="16565139"/>
        <c:crosses val="autoZero"/>
        <c:crossBetween val="midCat"/>
        <c:dispUnits/>
      </c:valAx>
      <c:valAx>
        <c:axId val="16565139"/>
        <c:scaling>
          <c:orientation val="minMax"/>
        </c:scaling>
        <c:axPos val="l"/>
        <c:title>
          <c:tx>
            <c:rich>
              <a:bodyPr vert="horz" rot="-5400000" anchor="ctr"/>
              <a:lstStyle/>
              <a:p>
                <a:pPr algn="ctr">
                  <a:defRPr/>
                </a:pPr>
                <a:r>
                  <a:rPr lang="en-US" cap="none" sz="1100" b="1" i="0" u="none" baseline="0"/>
                  <a:t>Good Y</a:t>
                </a:r>
              </a:p>
            </c:rich>
          </c:tx>
          <c:layout>
            <c:manualLayout>
              <c:xMode val="factor"/>
              <c:yMode val="factor"/>
              <c:x val="-0.04125"/>
              <c:y val="-0.00225"/>
            </c:manualLayout>
          </c:layout>
          <c:overlay val="0"/>
          <c:spPr>
            <a:noFill/>
            <a:ln>
              <a:noFill/>
            </a:ln>
          </c:spPr>
        </c:title>
        <c:delete val="0"/>
        <c:numFmt formatCode="General" sourceLinked="1"/>
        <c:majorTickMark val="in"/>
        <c:minorTickMark val="none"/>
        <c:tickLblPos val="nextTo"/>
        <c:crossAx val="54036354"/>
        <c:crosses val="autoZero"/>
        <c:crossBetween val="midCat"/>
        <c:dispUnits/>
      </c:valAx>
      <c:spPr>
        <a:noFill/>
        <a:ln>
          <a:noFill/>
        </a:ln>
      </c:spPr>
    </c:plotArea>
    <c:legend>
      <c:legendPos val="r"/>
      <c:layout>
        <c:manualLayout>
          <c:xMode val="edge"/>
          <c:yMode val="edge"/>
          <c:x val="0.7385"/>
          <c:y val="0.06125"/>
          <c:w val="0.24"/>
          <c:h val="0.08575"/>
        </c:manualLayout>
      </c:layout>
      <c:overlay val="0"/>
      <c:spPr>
        <a:noFill/>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B's PPC &amp; CPC</a:t>
            </a:r>
          </a:p>
        </c:rich>
      </c:tx>
      <c:layout>
        <c:manualLayout>
          <c:xMode val="factor"/>
          <c:yMode val="factor"/>
          <c:x val="-0.00425"/>
          <c:y val="-0.01925"/>
        </c:manualLayout>
      </c:layout>
      <c:spPr>
        <a:noFill/>
        <a:ln>
          <a:noFill/>
        </a:ln>
      </c:spPr>
    </c:title>
    <c:plotArea>
      <c:layout>
        <c:manualLayout>
          <c:xMode val="edge"/>
          <c:yMode val="edge"/>
          <c:x val="0.04275"/>
          <c:y val="0.04325"/>
          <c:w val="0.95725"/>
          <c:h val="0.92475"/>
        </c:manualLayout>
      </c:layout>
      <c:scatterChart>
        <c:scatterStyle val="smooth"/>
        <c:varyColors val="0"/>
        <c:ser>
          <c:idx val="0"/>
          <c:order val="0"/>
          <c:tx>
            <c:strRef>
              <c:f>'Nonlinear PPCs &amp; CPCs'!$AF$3</c:f>
              <c:strCache>
                <c:ptCount val="1"/>
                <c:pt idx="0">
                  <c:v>PPC_b</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'Nonlinear PPCs &amp; CPCs'!$AF$4:$AF$24</c:f>
              <c:numCache>
                <c:ptCount val="21"/>
                <c:pt idx="0">
                  <c:v>400</c:v>
                </c:pt>
                <c:pt idx="1">
                  <c:v>399</c:v>
                </c:pt>
                <c:pt idx="2">
                  <c:v>396</c:v>
                </c:pt>
                <c:pt idx="3">
                  <c:v>391</c:v>
                </c:pt>
                <c:pt idx="4">
                  <c:v>384</c:v>
                </c:pt>
                <c:pt idx="5">
                  <c:v>375</c:v>
                </c:pt>
                <c:pt idx="6">
                  <c:v>364</c:v>
                </c:pt>
                <c:pt idx="7">
                  <c:v>351</c:v>
                </c:pt>
                <c:pt idx="8">
                  <c:v>336</c:v>
                </c:pt>
                <c:pt idx="9">
                  <c:v>319</c:v>
                </c:pt>
                <c:pt idx="10">
                  <c:v>300</c:v>
                </c:pt>
                <c:pt idx="11">
                  <c:v>279</c:v>
                </c:pt>
                <c:pt idx="12">
                  <c:v>256</c:v>
                </c:pt>
                <c:pt idx="13">
                  <c:v>231</c:v>
                </c:pt>
                <c:pt idx="14">
                  <c:v>204</c:v>
                </c:pt>
                <c:pt idx="15">
                  <c:v>174.99999999999991</c:v>
                </c:pt>
                <c:pt idx="16">
                  <c:v>143.99999999999994</c:v>
                </c:pt>
                <c:pt idx="17">
                  <c:v>110.99999999999989</c:v>
                </c:pt>
                <c:pt idx="18">
                  <c:v>75.99999999999977</c:v>
                </c:pt>
                <c:pt idx="19">
                  <c:v>38.99999999999977</c:v>
                </c:pt>
                <c:pt idx="20">
                  <c:v>0</c:v>
                </c:pt>
              </c:numCache>
            </c:numRef>
          </c:yVal>
          <c:smooth val="1"/>
        </c:ser>
        <c:ser>
          <c:idx val="1"/>
          <c:order val="1"/>
          <c:tx>
            <c:strRef>
              <c:f>'Nonlinear PPCs &amp; CPCs'!$AG$3</c:f>
              <c:strCache>
                <c:ptCount val="1"/>
                <c:pt idx="0">
                  <c:v>CPC_b</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'Nonlinear PPCs &amp; CPCs'!$AG$4:$AG$24</c:f>
              <c:numCache>
                <c:ptCount val="21"/>
                <c:pt idx="0">
                  <c:v>604.0816326530612</c:v>
                </c:pt>
                <c:pt idx="1">
                  <c:v>575.5102040816327</c:v>
                </c:pt>
                <c:pt idx="2">
                  <c:v>546.9387755102041</c:v>
                </c:pt>
                <c:pt idx="3">
                  <c:v>518.3673469387754</c:v>
                </c:pt>
                <c:pt idx="4">
                  <c:v>489.7959183673469</c:v>
                </c:pt>
                <c:pt idx="5">
                  <c:v>461.2244897959183</c:v>
                </c:pt>
                <c:pt idx="6">
                  <c:v>432.65306122448976</c:v>
                </c:pt>
                <c:pt idx="7">
                  <c:v>404.0816326530612</c:v>
                </c:pt>
                <c:pt idx="8">
                  <c:v>375.51020408163265</c:v>
                </c:pt>
                <c:pt idx="9">
                  <c:v>346.9387755102041</c:v>
                </c:pt>
                <c:pt idx="10">
                  <c:v>318.36734693877554</c:v>
                </c:pt>
                <c:pt idx="11">
                  <c:v>289.7959183673469</c:v>
                </c:pt>
                <c:pt idx="12">
                  <c:v>261.2244897959183</c:v>
                </c:pt>
                <c:pt idx="13">
                  <c:v>232.65306122448976</c:v>
                </c:pt>
                <c:pt idx="14">
                  <c:v>204.0816326530612</c:v>
                </c:pt>
                <c:pt idx="15">
                  <c:v>175.51020408163254</c:v>
                </c:pt>
                <c:pt idx="16">
                  <c:v>146.93877551020398</c:v>
                </c:pt>
                <c:pt idx="17">
                  <c:v>118.36734693877543</c:v>
                </c:pt>
                <c:pt idx="18">
                  <c:v>89.79591836734676</c:v>
                </c:pt>
                <c:pt idx="19">
                  <c:v>61.2244897959182</c:v>
                </c:pt>
                <c:pt idx="20">
                  <c:v>32.65306122448965</c:v>
                </c:pt>
              </c:numCache>
            </c:numRef>
          </c:yVal>
          <c:smooth val="1"/>
        </c:ser>
        <c:axId val="14868524"/>
        <c:axId val="66707853"/>
      </c:scatterChart>
      <c:valAx>
        <c:axId val="14868524"/>
        <c:scaling>
          <c:orientation val="minMax"/>
        </c:scaling>
        <c:axPos val="b"/>
        <c:title>
          <c:tx>
            <c:rich>
              <a:bodyPr vert="horz" rot="0" anchor="ctr"/>
              <a:lstStyle/>
              <a:p>
                <a:pPr algn="ctr">
                  <a:defRPr/>
                </a:pPr>
                <a:r>
                  <a:rPr lang="en-US" cap="none" sz="1100" b="1" i="0" u="none" baseline="0"/>
                  <a:t>Good X</a:t>
                </a:r>
              </a:p>
            </c:rich>
          </c:tx>
          <c:layout/>
          <c:overlay val="0"/>
          <c:spPr>
            <a:noFill/>
            <a:ln>
              <a:noFill/>
            </a:ln>
          </c:spPr>
        </c:title>
        <c:delete val="0"/>
        <c:numFmt formatCode="General" sourceLinked="1"/>
        <c:majorTickMark val="in"/>
        <c:minorTickMark val="none"/>
        <c:tickLblPos val="nextTo"/>
        <c:crossAx val="66707853"/>
        <c:crosses val="autoZero"/>
        <c:crossBetween val="midCat"/>
        <c:dispUnits/>
      </c:valAx>
      <c:valAx>
        <c:axId val="66707853"/>
        <c:scaling>
          <c:orientation val="minMax"/>
        </c:scaling>
        <c:axPos val="l"/>
        <c:title>
          <c:tx>
            <c:rich>
              <a:bodyPr vert="horz" rot="-5400000" anchor="ctr"/>
              <a:lstStyle/>
              <a:p>
                <a:pPr algn="ctr">
                  <a:defRPr/>
                </a:pPr>
                <a:r>
                  <a:rPr lang="en-US" cap="none" sz="1100" b="1" i="0" u="none" baseline="0"/>
                  <a:t>Good Y</a:t>
                </a:r>
              </a:p>
            </c:rich>
          </c:tx>
          <c:layout>
            <c:manualLayout>
              <c:xMode val="factor"/>
              <c:yMode val="factor"/>
              <c:x val="-0.0035"/>
              <c:y val="0.0055"/>
            </c:manualLayout>
          </c:layout>
          <c:overlay val="0"/>
          <c:spPr>
            <a:noFill/>
            <a:ln>
              <a:noFill/>
            </a:ln>
          </c:spPr>
        </c:title>
        <c:delete val="0"/>
        <c:numFmt formatCode="General" sourceLinked="1"/>
        <c:majorTickMark val="in"/>
        <c:minorTickMark val="none"/>
        <c:tickLblPos val="nextTo"/>
        <c:crossAx val="14868524"/>
        <c:crosses val="autoZero"/>
        <c:crossBetween val="midCat"/>
        <c:dispUnits/>
      </c:valAx>
      <c:spPr>
        <a:noFill/>
        <a:ln>
          <a:noFill/>
        </a:ln>
      </c:spPr>
    </c:plotArea>
    <c:legend>
      <c:legendPos val="r"/>
      <c:layout>
        <c:manualLayout>
          <c:xMode val="edge"/>
          <c:yMode val="edge"/>
          <c:x val="0.775"/>
          <c:y val="0.052"/>
          <c:w val="0.214"/>
          <c:h val="0.0825"/>
        </c:manualLayout>
      </c:layout>
      <c:overlay val="0"/>
      <c:spPr>
        <a:noFill/>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PPC &amp; CPC</a:t>
            </a:r>
          </a:p>
        </c:rich>
      </c:tx>
      <c:layout>
        <c:manualLayout>
          <c:xMode val="factor"/>
          <c:yMode val="factor"/>
          <c:x val="0"/>
          <c:y val="-0.01975"/>
        </c:manualLayout>
      </c:layout>
      <c:spPr>
        <a:noFill/>
        <a:ln>
          <a:noFill/>
        </a:ln>
      </c:spPr>
    </c:title>
    <c:plotArea>
      <c:layout>
        <c:manualLayout>
          <c:xMode val="edge"/>
          <c:yMode val="edge"/>
          <c:x val="0.019"/>
          <c:y val="0.032"/>
          <c:w val="0.981"/>
          <c:h val="0.94"/>
        </c:manualLayout>
      </c:layout>
      <c:scatterChart>
        <c:scatterStyle val="line"/>
        <c:varyColors val="0"/>
        <c:ser>
          <c:idx val="0"/>
          <c:order val="0"/>
          <c:tx>
            <c:strRef>
              <c:f>'PPC &amp; CPC'!$AB$1</c:f>
              <c:strCache>
                <c:ptCount val="1"/>
                <c:pt idx="0">
                  <c:v>PPC</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CPC'!$AB$2:$AB$12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'PPC &amp; CPC'!$AC$1</c:f>
              <c:strCache>
                <c:ptCount val="1"/>
                <c:pt idx="0">
                  <c:v>CPCa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CPC'!$AC$2:$AC$12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'PPC &amp; CPC'!$AD$1</c:f>
              <c:strCache>
                <c:ptCount val="1"/>
                <c:pt idx="0">
                  <c:v>CPCb</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CPC'!$AD$2:$AD$12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strRef>
              <c:f>'PPC &amp; CPC'!$AE$1</c:f>
              <c:strCache>
                <c:ptCount val="1"/>
                <c:pt idx="0">
                  <c:v>CPCc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CPC'!$AE$2:$AE$12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4"/>
          <c:order val="4"/>
          <c:tx>
            <c:strRef>
              <c:f>'PPC &amp; CPC'!$AF$1</c:f>
              <c:strCache>
                <c:ptCount val="1"/>
                <c:pt idx="0">
                  <c:v>CPCd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CPC'!$AF$2:$AF$12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5"/>
          <c:order val="5"/>
          <c:tx>
            <c:strRef>
              <c:f>'PPC &amp; CPC'!$AG$1</c:f>
              <c:strCache>
                <c:ptCount val="1"/>
                <c:pt idx="0">
                  <c:v>CPCe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CPC'!$AG$2:$AG$12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6"/>
          <c:order val="6"/>
          <c:tx>
            <c:strRef>
              <c:f>'PPC &amp; CPC'!$AH$1</c:f>
              <c:strCache>
                <c:ptCount val="1"/>
                <c:pt idx="0">
                  <c:v>CPCf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CPC'!$AH$2:$AH$12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7"/>
          <c:order val="7"/>
          <c:tx>
            <c:strRef>
              <c:f>'PPC &amp; CPC'!$AI$1</c:f>
              <c:strCache>
                <c:ptCount val="1"/>
                <c:pt idx="0">
                  <c:v>CPCg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CPC'!$AI$2:$AI$12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8"/>
          <c:order val="8"/>
          <c:tx>
            <c:strRef>
              <c:f>'PPC &amp; CPC'!$AJ$1</c:f>
              <c:strCache>
                <c:ptCount val="1"/>
                <c:pt idx="0">
                  <c:v>CPCh</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CPC'!$AJ$2:$AJ$12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9"/>
          <c:order val="9"/>
          <c:tx>
            <c:strRef>
              <c:f>'PPC &amp; CPC'!$AK$1</c:f>
              <c:strCache>
                <c:ptCount val="1"/>
                <c:pt idx="0">
                  <c:v>CPCi</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CPC'!$AK$2:$AK$12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0"/>
          <c:order val="10"/>
          <c:tx>
            <c:strRef>
              <c:f>'PPC &amp; CPC'!$AL$1</c:f>
              <c:strCache>
                <c:ptCount val="1"/>
                <c:pt idx="0">
                  <c:v>CPCj</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CPC'!$AL$2:$AL$12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1"/>
          <c:order val="11"/>
          <c:tx>
            <c:strRef>
              <c:f>'PPC &amp; CPC'!$AM$1</c:f>
              <c:strCache>
                <c:ptCount val="1"/>
                <c:pt idx="0">
                  <c:v>CPCk</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'PPC &amp; CPC'!$AA$2:$AA$12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'PPC &amp; CPC'!$AM$2:$AM$12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3499766"/>
        <c:axId val="34626983"/>
      </c:scatterChart>
      <c:valAx>
        <c:axId val="63499766"/>
        <c:scaling>
          <c:orientation val="minMax"/>
          <c:max val="60"/>
          <c:min val="0"/>
        </c:scaling>
        <c:axPos val="b"/>
        <c:title>
          <c:tx>
            <c:rich>
              <a:bodyPr vert="horz" rot="0" anchor="ctr"/>
              <a:lstStyle/>
              <a:p>
                <a:pPr algn="ctr">
                  <a:defRPr/>
                </a:pPr>
                <a:r>
                  <a:rPr lang="en-US" cap="none" sz="1100" b="1" i="0" u="none" baseline="0"/>
                  <a:t>Good X</a:t>
                </a:r>
              </a:p>
            </c:rich>
          </c:tx>
          <c:layout/>
          <c:overlay val="0"/>
          <c:spPr>
            <a:noFill/>
            <a:ln>
              <a:noFill/>
            </a:ln>
          </c:spPr>
        </c:title>
        <c:delete val="0"/>
        <c:numFmt formatCode="General" sourceLinked="1"/>
        <c:majorTickMark val="out"/>
        <c:minorTickMark val="none"/>
        <c:tickLblPos val="nextTo"/>
        <c:crossAx val="34626983"/>
        <c:crosses val="autoZero"/>
        <c:crossBetween val="midCat"/>
        <c:dispUnits/>
      </c:valAx>
      <c:valAx>
        <c:axId val="34626983"/>
        <c:scaling>
          <c:orientation val="minMax"/>
          <c:max val="150"/>
          <c:min val="0"/>
        </c:scaling>
        <c:axPos val="l"/>
        <c:title>
          <c:tx>
            <c:rich>
              <a:bodyPr vert="horz" rot="-5400000" anchor="ctr"/>
              <a:lstStyle/>
              <a:p>
                <a:pPr algn="ctr">
                  <a:defRPr/>
                </a:pPr>
                <a:r>
                  <a:rPr lang="en-US" cap="none" sz="1100" b="1" i="0" u="none" baseline="0"/>
                  <a:t>Good Y</a:t>
                </a:r>
              </a:p>
            </c:rich>
          </c:tx>
          <c:layout/>
          <c:overlay val="0"/>
          <c:spPr>
            <a:noFill/>
            <a:ln>
              <a:noFill/>
            </a:ln>
          </c:spPr>
        </c:title>
        <c:delete val="0"/>
        <c:numFmt formatCode="General" sourceLinked="1"/>
        <c:majorTickMark val="out"/>
        <c:minorTickMark val="none"/>
        <c:tickLblPos val="nextTo"/>
        <c:crossAx val="63499766"/>
        <c:crosses val="autoZero"/>
        <c:crossBetween val="midCat"/>
        <c:dispUnits/>
      </c:valAx>
      <c:spPr>
        <a:noFill/>
        <a:ln>
          <a:noFill/>
        </a:ln>
      </c:spPr>
    </c:plotArea>
    <c:legend>
      <c:legendPos val="r"/>
      <c:layout>
        <c:manualLayout>
          <c:xMode val="edge"/>
          <c:yMode val="edge"/>
          <c:x val="0.71975"/>
          <c:y val="0.0275"/>
          <c:w val="0.228"/>
          <c:h val="0.52125"/>
        </c:manualLayout>
      </c:layout>
      <c:overlay val="0"/>
      <c:spPr>
        <a:noFill/>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28575</xdr:colOff>
      <xdr:row>5</xdr:row>
      <xdr:rowOff>85725</xdr:rowOff>
    </xdr:to>
    <xdr:sp>
      <xdr:nvSpPr>
        <xdr:cNvPr id="1" name="TextBox 1"/>
        <xdr:cNvSpPr txBox="1">
          <a:spLocks noChangeArrowheads="1"/>
        </xdr:cNvSpPr>
      </xdr:nvSpPr>
      <xdr:spPr>
        <a:xfrm>
          <a:off x="28575" y="38100"/>
          <a:ext cx="7086600"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0" i="0" u="none" baseline="0"/>
            <a:t>Comparative Advantage, Specialization and Gains from Trade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590550</xdr:colOff>
      <xdr:row>19</xdr:row>
      <xdr:rowOff>171450</xdr:rowOff>
    </xdr:to>
    <xdr:graphicFrame>
      <xdr:nvGraphicFramePr>
        <xdr:cNvPr id="1" name="Chart 1"/>
        <xdr:cNvGraphicFramePr/>
      </xdr:nvGraphicFramePr>
      <xdr:xfrm>
        <a:off x="19050" y="228600"/>
        <a:ext cx="3619500" cy="3200400"/>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1</xdr:row>
      <xdr:rowOff>57150</xdr:rowOff>
    </xdr:from>
    <xdr:to>
      <xdr:col>11</xdr:col>
      <xdr:colOff>485775</xdr:colOff>
      <xdr:row>19</xdr:row>
      <xdr:rowOff>171450</xdr:rowOff>
    </xdr:to>
    <xdr:graphicFrame>
      <xdr:nvGraphicFramePr>
        <xdr:cNvPr id="2" name="Chart 2"/>
        <xdr:cNvGraphicFramePr/>
      </xdr:nvGraphicFramePr>
      <xdr:xfrm>
        <a:off x="3676650" y="228600"/>
        <a:ext cx="3514725" cy="3200400"/>
      </xdr:xfrm>
      <a:graphic>
        <a:graphicData uri="http://schemas.openxmlformats.org/drawingml/2006/chart">
          <c:chart xmlns:c="http://schemas.openxmlformats.org/drawingml/2006/chart" r:id="rId2"/>
        </a:graphicData>
      </a:graphic>
    </xdr:graphicFrame>
    <xdr:clientData/>
  </xdr:twoCellAnchor>
  <xdr:twoCellAnchor>
    <xdr:from>
      <xdr:col>21</xdr:col>
      <xdr:colOff>19050</xdr:colOff>
      <xdr:row>7</xdr:row>
      <xdr:rowOff>19050</xdr:rowOff>
    </xdr:from>
    <xdr:to>
      <xdr:col>25</xdr:col>
      <xdr:colOff>600075</xdr:colOff>
      <xdr:row>18</xdr:row>
      <xdr:rowOff>161925</xdr:rowOff>
    </xdr:to>
    <xdr:sp>
      <xdr:nvSpPr>
        <xdr:cNvPr id="3" name="TextBox 9"/>
        <xdr:cNvSpPr txBox="1">
          <a:spLocks noChangeArrowheads="1"/>
        </xdr:cNvSpPr>
      </xdr:nvSpPr>
      <xdr:spPr>
        <a:xfrm>
          <a:off x="12725400" y="1219200"/>
          <a:ext cx="2981325" cy="2028825"/>
        </a:xfrm>
        <a:prstGeom prst="rect">
          <a:avLst/>
        </a:prstGeom>
        <a:solidFill>
          <a:srgbClr val="33CCCC">
            <a:alpha val="50000"/>
          </a:srgbClr>
        </a:solidFill>
        <a:ln w="9525" cmpd="sng">
          <a:noFill/>
        </a:ln>
      </xdr:spPr>
      <xdr:txBody>
        <a:bodyPr vertOverflow="clip" wrap="square"/>
        <a:p>
          <a:pPr algn="l">
            <a:defRPr/>
          </a:pPr>
          <a:r>
            <a:rPr lang="en-US" cap="none" sz="1000" b="1" i="0" u="sng" baseline="0">
              <a:latin typeface="Arial"/>
              <a:ea typeface="Arial"/>
              <a:cs typeface="Arial"/>
            </a:rPr>
            <a:t>Technical notes</a:t>
          </a:r>
          <a:r>
            <a:rPr lang="en-US" cap="none" sz="1000" b="0" i="0" u="none" baseline="0">
              <a:latin typeface="Arial"/>
              <a:ea typeface="Arial"/>
              <a:cs typeface="Arial"/>
            </a:rPr>
            <a:t>
1. Ya = A's max Y minus a*Xa^2; Yb = B's max Y      
     minus Xb^2
2. a = (A's max Y) divided by (A's max X)^2; and b = 
     (B's max Y) divided by (B's max X)^2.
3. Marginal Opportunity costs are 2aX for A and 2bY 
     for Y.
4. Assigning production so that marginal opportunity  
     costs are equal for both implies the following 
     assignments of X production:
          Xa = (b/(a+b))X
          Xb = (a/(a+b))X</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4</xdr:col>
      <xdr:colOff>600075</xdr:colOff>
      <xdr:row>9</xdr:row>
      <xdr:rowOff>171450</xdr:rowOff>
    </xdr:to>
    <xdr:sp>
      <xdr:nvSpPr>
        <xdr:cNvPr id="1" name="TextBox 4"/>
        <xdr:cNvSpPr txBox="1">
          <a:spLocks noChangeArrowheads="1"/>
        </xdr:cNvSpPr>
      </xdr:nvSpPr>
      <xdr:spPr>
        <a:xfrm>
          <a:off x="19050" y="19050"/>
          <a:ext cx="3019425" cy="1695450"/>
        </a:xfrm>
        <a:prstGeom prst="rect">
          <a:avLst/>
        </a:prstGeom>
        <a:solidFill>
          <a:srgbClr val="FF00FF"/>
        </a:solidFill>
        <a:ln w="9525" cmpd="sng">
          <a:solidFill>
            <a:srgbClr val="000000"/>
          </a:solidFill>
          <a:headEnd type="none"/>
          <a:tailEnd type="none"/>
        </a:ln>
      </xdr:spPr>
      <xdr:txBody>
        <a:bodyPr vertOverflow="clip" wrap="square"/>
        <a:p>
          <a:pPr algn="ctr">
            <a:defRPr/>
          </a:pPr>
          <a:r>
            <a:rPr lang="en-US" cap="none" sz="1200" b="1" i="0" u="sng" baseline="0">
              <a:latin typeface="Arial"/>
              <a:ea typeface="Arial"/>
              <a:cs typeface="Arial"/>
            </a:rPr>
            <a:t>PPC &amp; CPC</a:t>
          </a:r>
          <a:r>
            <a:rPr lang="en-US" cap="none" sz="1000" b="0" i="0" u="none" baseline="0">
              <a:latin typeface="Arial"/>
              <a:ea typeface="Arial"/>
              <a:cs typeface="Arial"/>
            </a:rPr>
            <a:t>
</a:t>
          </a:r>
          <a:r>
            <a:rPr lang="en-US" cap="none" sz="1000" b="1" i="0" u="none" baseline="0">
              <a:latin typeface="Arial"/>
              <a:ea typeface="Arial"/>
              <a:cs typeface="Arial"/>
            </a:rPr>
            <a:t>The purpose of production is to consume.  Choosing the point on the PPC at which relative prices, Px/Py, equals the opportunity cost of X maximizes consumption  possibilities.  A small country (or region or individual) does not produce enough to influence prices.  The price ratio is given and the small country reacts to it.  Choosing the proper production mix maximizes consumption possibilities.</a:t>
          </a:r>
        </a:p>
      </xdr:txBody>
    </xdr:sp>
    <xdr:clientData/>
  </xdr:twoCellAnchor>
  <xdr:twoCellAnchor>
    <xdr:from>
      <xdr:col>5</xdr:col>
      <xdr:colOff>19050</xdr:colOff>
      <xdr:row>0</xdr:row>
      <xdr:rowOff>19050</xdr:rowOff>
    </xdr:from>
    <xdr:to>
      <xdr:col>11</xdr:col>
      <xdr:colOff>457200</xdr:colOff>
      <xdr:row>22</xdr:row>
      <xdr:rowOff>133350</xdr:rowOff>
    </xdr:to>
    <xdr:graphicFrame>
      <xdr:nvGraphicFramePr>
        <xdr:cNvPr id="2" name="Chart 5"/>
        <xdr:cNvGraphicFramePr/>
      </xdr:nvGraphicFramePr>
      <xdr:xfrm>
        <a:off x="3067050" y="19050"/>
        <a:ext cx="4095750" cy="3886200"/>
      </xdr:xfrm>
      <a:graphic>
        <a:graphicData uri="http://schemas.openxmlformats.org/drawingml/2006/chart">
          <c:chart xmlns:c="http://schemas.openxmlformats.org/drawingml/2006/chart" r:id="rId1"/>
        </a:graphicData>
      </a:graphic>
    </xdr:graphicFrame>
    <xdr:clientData/>
  </xdr:twoCellAnchor>
  <xdr:twoCellAnchor>
    <xdr:from>
      <xdr:col>22</xdr:col>
      <xdr:colOff>581025</xdr:colOff>
      <xdr:row>12</xdr:row>
      <xdr:rowOff>133350</xdr:rowOff>
    </xdr:from>
    <xdr:to>
      <xdr:col>32</xdr:col>
      <xdr:colOff>209550</xdr:colOff>
      <xdr:row>16</xdr:row>
      <xdr:rowOff>76200</xdr:rowOff>
    </xdr:to>
    <xdr:sp>
      <xdr:nvSpPr>
        <xdr:cNvPr id="3" name="TextBox 17"/>
        <xdr:cNvSpPr txBox="1">
          <a:spLocks noChangeArrowheads="1"/>
        </xdr:cNvSpPr>
      </xdr:nvSpPr>
      <xdr:spPr>
        <a:xfrm>
          <a:off x="13992225" y="2190750"/>
          <a:ext cx="3943350" cy="628650"/>
        </a:xfrm>
        <a:prstGeom prst="rect">
          <a:avLst/>
        </a:prstGeom>
        <a:solidFill>
          <a:srgbClr val="00FFFF">
            <a:alpha val="50000"/>
          </a:srgbClr>
        </a:solidFill>
        <a:ln w="9525" cmpd="sng">
          <a:noFill/>
        </a:ln>
      </xdr:spPr>
      <xdr:txBody>
        <a:bodyPr vertOverflow="clip" wrap="square"/>
        <a:p>
          <a:pPr algn="l">
            <a:defRPr/>
          </a:pPr>
          <a:r>
            <a:rPr lang="en-US" cap="none" sz="1000" b="0" i="0" u="none" baseline="0">
              <a:latin typeface="Arial"/>
              <a:ea typeface="Arial"/>
              <a:cs typeface="Arial"/>
            </a:rPr>
            <a:t>Technical Notes:
OppCsot is the point opportunity cost.
PropX is the proportion of the maximum X that could be produced.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28575</xdr:colOff>
      <xdr:row>5</xdr:row>
      <xdr:rowOff>85725</xdr:rowOff>
    </xdr:to>
    <xdr:sp>
      <xdr:nvSpPr>
        <xdr:cNvPr id="1" name="TextBox 1"/>
        <xdr:cNvSpPr txBox="1">
          <a:spLocks noChangeArrowheads="1"/>
        </xdr:cNvSpPr>
      </xdr:nvSpPr>
      <xdr:spPr>
        <a:xfrm>
          <a:off x="28575" y="38100"/>
          <a:ext cx="7086600"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0" i="0" u="none" baseline="0"/>
            <a:t>Comparative Advantage, Specialization and Gains from Trade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38100</xdr:rowOff>
    </xdr:from>
    <xdr:to>
      <xdr:col>11</xdr:col>
      <xdr:colOff>447675</xdr:colOff>
      <xdr:row>22</xdr:row>
      <xdr:rowOff>114300</xdr:rowOff>
    </xdr:to>
    <xdr:graphicFrame>
      <xdr:nvGraphicFramePr>
        <xdr:cNvPr id="1" name="Chart 1"/>
        <xdr:cNvGraphicFramePr/>
      </xdr:nvGraphicFramePr>
      <xdr:xfrm>
        <a:off x="3067050" y="38100"/>
        <a:ext cx="4086225" cy="38481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9525</xdr:rowOff>
    </xdr:from>
    <xdr:to>
      <xdr:col>4</xdr:col>
      <xdr:colOff>590550</xdr:colOff>
      <xdr:row>5</xdr:row>
      <xdr:rowOff>133350</xdr:rowOff>
    </xdr:to>
    <xdr:sp>
      <xdr:nvSpPr>
        <xdr:cNvPr id="2" name="TextBox 2"/>
        <xdr:cNvSpPr txBox="1">
          <a:spLocks noChangeArrowheads="1"/>
        </xdr:cNvSpPr>
      </xdr:nvSpPr>
      <xdr:spPr>
        <a:xfrm>
          <a:off x="19050" y="9525"/>
          <a:ext cx="3009900" cy="98107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Opportunity cost is the slope of the PPC at a point--it is the opportunity cost of X when X changes by a small amount.  ChY/ChX is the average opportunity cost of X over a range--when X changes from one value on the table to the next value.</a:t>
          </a:r>
        </a:p>
      </xdr:txBody>
    </xdr:sp>
    <xdr:clientData/>
  </xdr:twoCellAnchor>
  <xdr:twoCellAnchor>
    <xdr:from>
      <xdr:col>22</xdr:col>
      <xdr:colOff>561975</xdr:colOff>
      <xdr:row>13</xdr:row>
      <xdr:rowOff>47625</xdr:rowOff>
    </xdr:from>
    <xdr:to>
      <xdr:col>28</xdr:col>
      <xdr:colOff>552450</xdr:colOff>
      <xdr:row>18</xdr:row>
      <xdr:rowOff>38100</xdr:rowOff>
    </xdr:to>
    <xdr:sp>
      <xdr:nvSpPr>
        <xdr:cNvPr id="3" name="TextBox 3"/>
        <xdr:cNvSpPr txBox="1">
          <a:spLocks noChangeArrowheads="1"/>
        </xdr:cNvSpPr>
      </xdr:nvSpPr>
      <xdr:spPr>
        <a:xfrm>
          <a:off x="13973175" y="2276475"/>
          <a:ext cx="3648075" cy="847725"/>
        </a:xfrm>
        <a:prstGeom prst="rect">
          <a:avLst/>
        </a:prstGeom>
        <a:solidFill>
          <a:srgbClr val="FF99CC"/>
        </a:solidFill>
        <a:ln w="9525" cmpd="sng">
          <a:noFill/>
        </a:ln>
      </xdr:spPr>
      <xdr:txBody>
        <a:bodyPr vertOverflow="clip" wrap="square"/>
        <a:p>
          <a:pPr algn="l">
            <a:defRPr/>
          </a:pPr>
          <a:r>
            <a:rPr lang="en-US" cap="none" sz="1000" b="0" i="0" u="none" baseline="0">
              <a:latin typeface="Arial"/>
              <a:ea typeface="Arial"/>
              <a:cs typeface="Arial"/>
            </a:rPr>
            <a:t>Technical notes
1.  a = Ymax / Xmax^2
2.  OppCost is the "point" opportunity cost.  The "arc" OppCost       is  ChY/ChX,  the change in Y divided by the change in X.
3.  "Prop_X" is the proportion of maximum X being produced.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600075</xdr:colOff>
      <xdr:row>13</xdr:row>
      <xdr:rowOff>66675</xdr:rowOff>
    </xdr:from>
    <xdr:to>
      <xdr:col>26</xdr:col>
      <xdr:colOff>561975</xdr:colOff>
      <xdr:row>21</xdr:row>
      <xdr:rowOff>19050</xdr:rowOff>
    </xdr:to>
    <xdr:sp>
      <xdr:nvSpPr>
        <xdr:cNvPr id="1" name="TextBox 5"/>
        <xdr:cNvSpPr txBox="1">
          <a:spLocks noChangeArrowheads="1"/>
        </xdr:cNvSpPr>
      </xdr:nvSpPr>
      <xdr:spPr>
        <a:xfrm>
          <a:off x="12792075" y="2295525"/>
          <a:ext cx="3619500" cy="1323975"/>
        </a:xfrm>
        <a:prstGeom prst="rect">
          <a:avLst/>
        </a:prstGeom>
        <a:solidFill>
          <a:srgbClr val="FFCC99"/>
        </a:solidFill>
        <a:ln w="9525" cmpd="sng">
          <a:noFill/>
        </a:ln>
      </xdr:spPr>
      <xdr:txBody>
        <a:bodyPr vertOverflow="clip" wrap="square"/>
        <a:p>
          <a:pPr algn="l">
            <a:defRPr/>
          </a:pPr>
          <a:r>
            <a:rPr lang="en-US" cap="none" sz="1000" b="0" i="0" u="none" baseline="0">
              <a:latin typeface="Arial"/>
              <a:ea typeface="Arial"/>
              <a:cs typeface="Arial"/>
            </a:rPr>
            <a:t>Technical notes
1.  Y = Ymax - a*X^2, and Y = 0 at X = Xmax, so a = Ymax / 
     Xmax^2
2.  OppCost is the "point" opportunity cost. This is the slope of 
     the PPC at a specfied value of X.
3.  The "arc" OppCost is the change in Y divided by the change  
     in X--ChY/ChX.  This measure of opportunity cost can be 
     calculated from the data.</a:t>
          </a:r>
        </a:p>
      </xdr:txBody>
    </xdr:sp>
    <xdr:clientData/>
  </xdr:twoCellAnchor>
  <xdr:twoCellAnchor>
    <xdr:from>
      <xdr:col>5</xdr:col>
      <xdr:colOff>38100</xdr:colOff>
      <xdr:row>0</xdr:row>
      <xdr:rowOff>19050</xdr:rowOff>
    </xdr:from>
    <xdr:to>
      <xdr:col>11</xdr:col>
      <xdr:colOff>495300</xdr:colOff>
      <xdr:row>22</xdr:row>
      <xdr:rowOff>85725</xdr:rowOff>
    </xdr:to>
    <xdr:graphicFrame>
      <xdr:nvGraphicFramePr>
        <xdr:cNvPr id="2" name="Chart 1"/>
        <xdr:cNvGraphicFramePr/>
      </xdr:nvGraphicFramePr>
      <xdr:xfrm>
        <a:off x="3086100" y="19050"/>
        <a:ext cx="4114800" cy="38385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11</xdr:col>
      <xdr:colOff>447675</xdr:colOff>
      <xdr:row>22</xdr:row>
      <xdr:rowOff>114300</xdr:rowOff>
    </xdr:to>
    <xdr:graphicFrame>
      <xdr:nvGraphicFramePr>
        <xdr:cNvPr id="1" name="Chart 4"/>
        <xdr:cNvGraphicFramePr/>
      </xdr:nvGraphicFramePr>
      <xdr:xfrm>
        <a:off x="3067050" y="19050"/>
        <a:ext cx="4086225"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4</xdr:col>
      <xdr:colOff>590550</xdr:colOff>
      <xdr:row>6</xdr:row>
      <xdr:rowOff>38100</xdr:rowOff>
    </xdr:to>
    <xdr:sp>
      <xdr:nvSpPr>
        <xdr:cNvPr id="1" name="TextBox 2"/>
        <xdr:cNvSpPr txBox="1">
          <a:spLocks noChangeArrowheads="1"/>
        </xdr:cNvSpPr>
      </xdr:nvSpPr>
      <xdr:spPr>
        <a:xfrm>
          <a:off x="28575" y="57150"/>
          <a:ext cx="3000375" cy="1009650"/>
        </a:xfrm>
        <a:prstGeom prst="rect">
          <a:avLst/>
        </a:prstGeom>
        <a:solidFill>
          <a:srgbClr val="FF00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Gains Linear</a:t>
          </a:r>
          <a:r>
            <a:rPr lang="en-US" cap="none" sz="1000" b="1" i="0" u="none" baseline="0">
              <a:latin typeface="Arial"/>
              <a:ea typeface="Arial"/>
              <a:cs typeface="Arial"/>
            </a:rPr>
            <a:t>
To see how specialization can increase output, consider a case in which the amount of Good X is specified and held constant.  Holding this level of X constant, the amount of Good Y can be increased by specialization.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19050</xdr:rowOff>
    </xdr:from>
    <xdr:to>
      <xdr:col>11</xdr:col>
      <xdr:colOff>457200</xdr:colOff>
      <xdr:row>22</xdr:row>
      <xdr:rowOff>114300</xdr:rowOff>
    </xdr:to>
    <xdr:graphicFrame>
      <xdr:nvGraphicFramePr>
        <xdr:cNvPr id="1" name="Chart 1"/>
        <xdr:cNvGraphicFramePr/>
      </xdr:nvGraphicFramePr>
      <xdr:xfrm>
        <a:off x="3076575" y="19050"/>
        <a:ext cx="4086225"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11</xdr:col>
      <xdr:colOff>438150</xdr:colOff>
      <xdr:row>22</xdr:row>
      <xdr:rowOff>114300</xdr:rowOff>
    </xdr:to>
    <xdr:graphicFrame>
      <xdr:nvGraphicFramePr>
        <xdr:cNvPr id="1" name="Chart 1"/>
        <xdr:cNvGraphicFramePr/>
      </xdr:nvGraphicFramePr>
      <xdr:xfrm>
        <a:off x="3067050" y="19050"/>
        <a:ext cx="407670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xdr:row>
      <xdr:rowOff>19050</xdr:rowOff>
    </xdr:from>
    <xdr:to>
      <xdr:col>25</xdr:col>
      <xdr:colOff>600075</xdr:colOff>
      <xdr:row>18</xdr:row>
      <xdr:rowOff>161925</xdr:rowOff>
    </xdr:to>
    <xdr:sp>
      <xdr:nvSpPr>
        <xdr:cNvPr id="1" name="TextBox 4"/>
        <xdr:cNvSpPr txBox="1">
          <a:spLocks noChangeArrowheads="1"/>
        </xdr:cNvSpPr>
      </xdr:nvSpPr>
      <xdr:spPr>
        <a:xfrm>
          <a:off x="12820650" y="1219200"/>
          <a:ext cx="3019425" cy="2028825"/>
        </a:xfrm>
        <a:prstGeom prst="rect">
          <a:avLst/>
        </a:prstGeom>
        <a:solidFill>
          <a:srgbClr val="99CC00">
            <a:alpha val="50000"/>
          </a:srgbClr>
        </a:solidFill>
        <a:ln w="9525" cmpd="sng">
          <a:noFill/>
        </a:ln>
      </xdr:spPr>
      <xdr:txBody>
        <a:bodyPr vertOverflow="clip" wrap="square"/>
        <a:p>
          <a:pPr algn="l">
            <a:defRPr/>
          </a:pPr>
          <a:r>
            <a:rPr lang="en-US" cap="none" sz="1000" b="1" i="0" u="sng" baseline="0">
              <a:latin typeface="Arial"/>
              <a:ea typeface="Arial"/>
              <a:cs typeface="Arial"/>
            </a:rPr>
            <a:t>Technical notes</a:t>
          </a:r>
          <a:r>
            <a:rPr lang="en-US" cap="none" sz="1000" b="0" i="0" u="none" baseline="0">
              <a:latin typeface="Arial"/>
              <a:ea typeface="Arial"/>
              <a:cs typeface="Arial"/>
            </a:rPr>
            <a:t>
1. Ya = A's max Y minus a*Xa^2; Yb = B's max Y      
     minus Xb^2
2. a = (A's max Y) divided by (A's max X)^2; and b = 
     (B's max Y) divided by (B's max X)^2.
3. Marginal Opportunity costs are 2aX for A and 2bY 
     for Y.
4. Assigning production so that marginal opportunity  
     costs are equal for both implies the following 
     assignments of X production:
          Xa = (b/(a+b))X
          Xb = (a/(a+b))X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4"/>
  <dimension ref="A1:AA50"/>
  <sheetViews>
    <sheetView tabSelected="1" workbookViewId="0" topLeftCell="A1">
      <selection activeCell="A1" sqref="A1"/>
    </sheetView>
  </sheetViews>
  <sheetFormatPr defaultColWidth="8.8515625" defaultRowHeight="12.75"/>
  <cols>
    <col min="1" max="16384" width="8.8515625" style="2" customWidth="1"/>
  </cols>
  <sheetData>
    <row r="1" spans="1:27" ht="15">
      <c r="A1" s="1"/>
      <c r="B1" s="1"/>
      <c r="C1" s="1"/>
      <c r="D1" s="1"/>
      <c r="E1" s="1"/>
      <c r="F1" s="1"/>
      <c r="G1" s="1"/>
      <c r="H1" s="1"/>
      <c r="I1" s="1"/>
      <c r="J1" s="1"/>
      <c r="K1" s="1"/>
      <c r="L1" s="1"/>
      <c r="M1" s="1"/>
      <c r="N1" s="1"/>
      <c r="O1" s="1"/>
      <c r="P1" s="1"/>
      <c r="Q1" s="1"/>
      <c r="R1" s="1"/>
      <c r="S1" s="1"/>
      <c r="T1" s="1"/>
      <c r="U1" s="1"/>
      <c r="V1" s="1"/>
      <c r="W1" s="1"/>
      <c r="X1" s="1"/>
      <c r="Y1" s="1"/>
      <c r="Z1" s="1"/>
      <c r="AA1" s="1"/>
    </row>
    <row r="2" spans="1:27" ht="15">
      <c r="A2" s="1"/>
      <c r="B2" s="1"/>
      <c r="C2" s="1"/>
      <c r="D2" s="1"/>
      <c r="E2" s="1"/>
      <c r="F2" s="1"/>
      <c r="G2" s="1"/>
      <c r="H2" s="1"/>
      <c r="I2" s="1"/>
      <c r="J2" s="1"/>
      <c r="K2" s="1"/>
      <c r="L2" s="1"/>
      <c r="M2" s="1"/>
      <c r="N2" s="1"/>
      <c r="O2" s="1"/>
      <c r="P2" s="1"/>
      <c r="Q2" s="1"/>
      <c r="R2" s="1"/>
      <c r="S2" s="1"/>
      <c r="T2" s="1"/>
      <c r="U2" s="1"/>
      <c r="V2" s="1"/>
      <c r="W2" s="1"/>
      <c r="X2" s="1"/>
      <c r="Y2" s="1"/>
      <c r="Z2" s="1"/>
      <c r="AA2" s="1"/>
    </row>
    <row r="3" spans="1:27" ht="15">
      <c r="A3" s="1"/>
      <c r="B3" s="1"/>
      <c r="C3" s="1"/>
      <c r="D3" s="1"/>
      <c r="E3" s="1"/>
      <c r="F3" s="1"/>
      <c r="G3" s="1"/>
      <c r="H3" s="1"/>
      <c r="I3" s="1"/>
      <c r="J3" s="1"/>
      <c r="K3" s="1"/>
      <c r="L3" s="1"/>
      <c r="M3" s="1"/>
      <c r="N3" s="1"/>
      <c r="O3" s="1"/>
      <c r="P3" s="1"/>
      <c r="Q3" s="1"/>
      <c r="R3" s="1"/>
      <c r="S3" s="1"/>
      <c r="T3" s="1"/>
      <c r="U3" s="1"/>
      <c r="V3" s="1"/>
      <c r="W3" s="1"/>
      <c r="X3" s="1"/>
      <c r="Y3" s="1"/>
      <c r="Z3" s="1"/>
      <c r="AA3" s="1"/>
    </row>
    <row r="4" spans="1:27" ht="15">
      <c r="A4" s="1"/>
      <c r="B4" s="1"/>
      <c r="C4" s="1"/>
      <c r="D4" s="1"/>
      <c r="E4" s="1"/>
      <c r="F4" s="1"/>
      <c r="G4" s="1"/>
      <c r="H4" s="1"/>
      <c r="I4" s="1"/>
      <c r="J4" s="1"/>
      <c r="K4" s="1"/>
      <c r="L4" s="1"/>
      <c r="M4" s="1"/>
      <c r="N4" s="1"/>
      <c r="O4" s="1"/>
      <c r="P4" s="1"/>
      <c r="Q4" s="1"/>
      <c r="R4" s="1"/>
      <c r="S4" s="1"/>
      <c r="T4" s="1"/>
      <c r="U4" s="1"/>
      <c r="V4" s="1"/>
      <c r="W4" s="1"/>
      <c r="X4" s="1"/>
      <c r="Y4" s="1"/>
      <c r="Z4" s="1"/>
      <c r="AA4" s="1"/>
    </row>
    <row r="5" spans="1:27" ht="15">
      <c r="A5" s="1"/>
      <c r="B5" s="1"/>
      <c r="C5" s="1"/>
      <c r="D5" s="1"/>
      <c r="E5" s="1"/>
      <c r="F5" s="1"/>
      <c r="G5" s="1"/>
      <c r="H5" s="1"/>
      <c r="I5" s="1"/>
      <c r="J5" s="1"/>
      <c r="K5" s="1"/>
      <c r="L5" s="1"/>
      <c r="M5" s="1"/>
      <c r="N5" s="1"/>
      <c r="O5" s="1"/>
      <c r="P5" s="1"/>
      <c r="Q5" s="1"/>
      <c r="R5" s="1"/>
      <c r="S5" s="1"/>
      <c r="T5" s="1"/>
      <c r="U5" s="1"/>
      <c r="V5" s="1"/>
      <c r="W5" s="1"/>
      <c r="X5" s="1"/>
      <c r="Y5" s="1"/>
      <c r="Z5" s="1"/>
      <c r="AA5" s="1"/>
    </row>
    <row r="6" spans="1:27" ht="15">
      <c r="A6" s="1"/>
      <c r="B6" s="1"/>
      <c r="C6" s="1"/>
      <c r="D6" s="1"/>
      <c r="E6" s="1"/>
      <c r="F6" s="1"/>
      <c r="G6" s="1"/>
      <c r="H6" s="1"/>
      <c r="I6" s="1"/>
      <c r="J6" s="1"/>
      <c r="K6" s="1"/>
      <c r="L6" s="1"/>
      <c r="M6" s="1"/>
      <c r="N6" s="1"/>
      <c r="O6" s="1"/>
      <c r="P6" s="1"/>
      <c r="Q6" s="1"/>
      <c r="R6" s="1"/>
      <c r="S6" s="1"/>
      <c r="T6" s="1"/>
      <c r="U6" s="1"/>
      <c r="V6" s="1"/>
      <c r="W6" s="1"/>
      <c r="X6" s="1"/>
      <c r="Y6" s="1"/>
      <c r="Z6" s="1"/>
      <c r="AA6" s="1"/>
    </row>
    <row r="7" spans="1:27" ht="15">
      <c r="A7" s="1"/>
      <c r="B7" s="1"/>
      <c r="C7" s="1"/>
      <c r="D7" s="1"/>
      <c r="E7" s="1"/>
      <c r="F7" s="1"/>
      <c r="G7" s="1"/>
      <c r="H7" s="1"/>
      <c r="I7" s="1"/>
      <c r="J7" s="1"/>
      <c r="K7" s="1"/>
      <c r="L7" s="1"/>
      <c r="M7" s="1"/>
      <c r="N7" s="1"/>
      <c r="O7" s="1"/>
      <c r="P7" s="1"/>
      <c r="Q7" s="1"/>
      <c r="R7" s="1"/>
      <c r="S7" s="1"/>
      <c r="T7" s="1"/>
      <c r="U7" s="1"/>
      <c r="V7" s="1"/>
      <c r="W7" s="1"/>
      <c r="X7" s="1"/>
      <c r="Y7" s="1"/>
      <c r="Z7" s="1"/>
      <c r="AA7" s="1"/>
    </row>
    <row r="8" spans="1:27" ht="15">
      <c r="A8" s="1"/>
      <c r="B8" s="1"/>
      <c r="C8" s="1"/>
      <c r="D8" s="1"/>
      <c r="E8" s="1"/>
      <c r="F8" s="1"/>
      <c r="G8" s="1"/>
      <c r="H8" s="1"/>
      <c r="I8" s="1"/>
      <c r="J8" s="1"/>
      <c r="K8" s="1"/>
      <c r="L8" s="1"/>
      <c r="M8" s="1"/>
      <c r="N8" s="1"/>
      <c r="O8" s="1"/>
      <c r="P8" s="1"/>
      <c r="Q8" s="1"/>
      <c r="R8" s="1"/>
      <c r="S8" s="1"/>
      <c r="T8" s="1"/>
      <c r="U8" s="1"/>
      <c r="V8" s="1"/>
      <c r="W8" s="1"/>
      <c r="X8" s="1"/>
      <c r="Y8" s="1"/>
      <c r="Z8" s="1"/>
      <c r="AA8" s="1"/>
    </row>
    <row r="9" spans="1:27" ht="15">
      <c r="A9" s="1"/>
      <c r="B9" s="1"/>
      <c r="C9" s="1"/>
      <c r="D9" s="1"/>
      <c r="E9" s="1"/>
      <c r="F9" s="1"/>
      <c r="G9" s="1"/>
      <c r="H9" s="1"/>
      <c r="I9" s="1"/>
      <c r="J9" s="1"/>
      <c r="K9" s="1"/>
      <c r="L9" s="1"/>
      <c r="M9" s="1"/>
      <c r="N9" s="1"/>
      <c r="O9" s="1"/>
      <c r="P9" s="1"/>
      <c r="Q9" s="1"/>
      <c r="R9" s="1"/>
      <c r="S9" s="1"/>
      <c r="T9" s="1"/>
      <c r="U9" s="1"/>
      <c r="V9" s="1"/>
      <c r="W9" s="1"/>
      <c r="X9" s="1"/>
      <c r="Y9" s="1"/>
      <c r="Z9" s="1"/>
      <c r="AA9" s="1"/>
    </row>
    <row r="10" spans="1:27" ht="1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c r="A50" s="1"/>
      <c r="B50" s="1"/>
      <c r="C50" s="1"/>
      <c r="D50" s="1"/>
      <c r="E50" s="1"/>
      <c r="F50" s="1"/>
      <c r="G50" s="1"/>
      <c r="H50" s="1"/>
      <c r="I50" s="1"/>
      <c r="J50" s="1"/>
      <c r="K50" s="1"/>
      <c r="L50" s="1"/>
      <c r="M50" s="1"/>
      <c r="N50" s="1"/>
      <c r="O50" s="1"/>
      <c r="P50" s="1"/>
      <c r="Q50" s="1"/>
      <c r="R50" s="1"/>
      <c r="S50" s="1"/>
      <c r="T50" s="1"/>
      <c r="U50" s="1"/>
      <c r="V50" s="1"/>
      <c r="W50" s="1"/>
      <c r="X50" s="1"/>
      <c r="Y50" s="1"/>
      <c r="Z50" s="1"/>
      <c r="AA50" s="1"/>
    </row>
  </sheetData>
  <printOptions/>
  <pageMargins left="0.75" right="0.75" top="1" bottom="1" header="0.5" footer="0.5"/>
  <pageSetup horizontalDpi="300" verticalDpi="3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11"/>
  <dimension ref="A1:Z75"/>
  <sheetViews>
    <sheetView workbookViewId="0" topLeftCell="A1">
      <selection activeCell="A1" sqref="A1:K1"/>
    </sheetView>
  </sheetViews>
  <sheetFormatPr defaultColWidth="9.140625" defaultRowHeight="12.75"/>
  <sheetData>
    <row r="1" spans="1:26" ht="13.5" customHeight="1" thickBot="1">
      <c r="A1" s="270" t="s">
        <v>208</v>
      </c>
      <c r="B1" s="270"/>
      <c r="C1" s="270"/>
      <c r="D1" s="270"/>
      <c r="E1" s="270"/>
      <c r="F1" s="270"/>
      <c r="G1" s="270"/>
      <c r="H1" s="270"/>
      <c r="I1" s="270"/>
      <c r="J1" s="270"/>
      <c r="K1" s="270"/>
      <c r="L1" s="100"/>
      <c r="M1" s="100"/>
      <c r="N1" s="100"/>
      <c r="O1" s="101"/>
      <c r="P1" s="102"/>
      <c r="Q1" s="103"/>
      <c r="R1" s="101"/>
      <c r="S1" s="101"/>
      <c r="T1" s="101"/>
      <c r="U1" s="101"/>
      <c r="V1" s="101"/>
      <c r="W1" s="101"/>
      <c r="X1" s="101"/>
      <c r="Y1" s="101"/>
      <c r="Z1" s="101"/>
    </row>
    <row r="2" spans="1:26" ht="13.5" customHeight="1" thickBot="1" thickTop="1">
      <c r="A2" s="201" t="s">
        <v>5</v>
      </c>
      <c r="B2" s="201"/>
      <c r="C2" s="201"/>
      <c r="D2" s="100"/>
      <c r="E2" s="100"/>
      <c r="F2" s="201" t="s">
        <v>207</v>
      </c>
      <c r="G2" s="201"/>
      <c r="H2" s="201"/>
      <c r="I2" s="201"/>
      <c r="J2" s="201"/>
      <c r="K2" s="101"/>
      <c r="L2" s="100"/>
      <c r="M2" s="100"/>
      <c r="N2" s="100"/>
      <c r="O2" s="101"/>
      <c r="P2" s="102"/>
      <c r="Q2" s="103"/>
      <c r="R2" s="101"/>
      <c r="S2" s="101"/>
      <c r="T2" s="101"/>
      <c r="U2" s="101"/>
      <c r="V2" s="101"/>
      <c r="W2" s="101"/>
      <c r="X2" s="101"/>
      <c r="Y2" s="101"/>
      <c r="Z2" s="101"/>
    </row>
    <row r="3" spans="1:26" ht="13.5" customHeight="1" thickTop="1">
      <c r="A3" s="202" t="s">
        <v>106</v>
      </c>
      <c r="B3" s="202"/>
      <c r="C3" s="10">
        <v>30</v>
      </c>
      <c r="D3" s="101"/>
      <c r="E3" s="101"/>
      <c r="F3" s="202" t="s">
        <v>110</v>
      </c>
      <c r="G3" s="202"/>
      <c r="H3" s="10">
        <v>30</v>
      </c>
      <c r="I3" s="10" t="s">
        <v>111</v>
      </c>
      <c r="J3" s="104"/>
      <c r="K3" s="101"/>
      <c r="L3" s="100"/>
      <c r="M3" s="100"/>
      <c r="N3" s="100"/>
      <c r="O3" s="101"/>
      <c r="P3" s="101"/>
      <c r="Q3" s="101"/>
      <c r="R3" s="101"/>
      <c r="S3" s="101"/>
      <c r="T3" s="101"/>
      <c r="U3" s="101"/>
      <c r="V3" s="101"/>
      <c r="W3" s="101"/>
      <c r="X3" s="101"/>
      <c r="Y3" s="101"/>
      <c r="Z3" s="101"/>
    </row>
    <row r="4" spans="1:26" ht="13.5" customHeight="1">
      <c r="A4" s="203" t="s">
        <v>107</v>
      </c>
      <c r="B4" s="203"/>
      <c r="C4" s="11">
        <v>90</v>
      </c>
      <c r="D4" s="101"/>
      <c r="E4" s="101"/>
      <c r="F4" s="203" t="s">
        <v>206</v>
      </c>
      <c r="G4" s="203"/>
      <c r="H4" s="11">
        <v>70</v>
      </c>
      <c r="I4" s="11" t="s">
        <v>111</v>
      </c>
      <c r="J4" s="104"/>
      <c r="K4" s="101"/>
      <c r="L4" s="100"/>
      <c r="M4" s="100"/>
      <c r="N4" s="100"/>
      <c r="O4" s="101"/>
      <c r="P4" s="101"/>
      <c r="Q4" s="101"/>
      <c r="R4" s="101"/>
      <c r="S4" s="101"/>
      <c r="T4" s="101"/>
      <c r="U4" s="101"/>
      <c r="V4" s="101"/>
      <c r="W4" s="101"/>
      <c r="X4" s="101"/>
      <c r="Y4" s="101"/>
      <c r="Z4" s="101"/>
    </row>
    <row r="5" spans="1:26" ht="13.5" customHeight="1">
      <c r="A5" s="203" t="s">
        <v>108</v>
      </c>
      <c r="B5" s="203"/>
      <c r="C5" s="11">
        <v>100</v>
      </c>
      <c r="D5" s="101"/>
      <c r="E5" s="101"/>
      <c r="F5" s="100"/>
      <c r="G5" s="100" t="str">
        <f>IF(C5&gt;200,"B's maximum X must be &lt;=200"," ")</f>
        <v> </v>
      </c>
      <c r="H5" s="100"/>
      <c r="I5" s="100"/>
      <c r="J5" s="100"/>
      <c r="K5" s="100"/>
      <c r="L5" s="100"/>
      <c r="M5" s="100"/>
      <c r="N5" s="100"/>
      <c r="O5" s="101"/>
      <c r="P5" s="101"/>
      <c r="Q5" s="101"/>
      <c r="R5" s="101"/>
      <c r="S5" s="101"/>
      <c r="T5" s="101"/>
      <c r="U5" s="101"/>
      <c r="V5" s="101"/>
      <c r="W5" s="101"/>
      <c r="X5" s="101"/>
      <c r="Y5" s="101"/>
      <c r="Z5" s="101"/>
    </row>
    <row r="6" spans="1:26" ht="13.5" customHeight="1">
      <c r="A6" s="203" t="s">
        <v>109</v>
      </c>
      <c r="B6" s="203"/>
      <c r="C6" s="11">
        <v>400</v>
      </c>
      <c r="D6" s="101"/>
      <c r="E6" s="101"/>
      <c r="F6" s="100"/>
      <c r="G6" s="100" t="str">
        <f>IF(C6&gt;800,"B's maximum Y must be &lt;=800"," ")</f>
        <v> </v>
      </c>
      <c r="H6" s="100"/>
      <c r="I6" s="100"/>
      <c r="J6" s="100"/>
      <c r="K6" s="100"/>
      <c r="L6" s="100"/>
      <c r="M6" s="100"/>
      <c r="N6" s="100"/>
      <c r="O6" s="101"/>
      <c r="P6" s="101"/>
      <c r="Q6" s="101"/>
      <c r="R6" s="101"/>
      <c r="S6" s="101"/>
      <c r="T6" s="101"/>
      <c r="U6" s="101"/>
      <c r="V6" s="101"/>
      <c r="W6" s="101"/>
      <c r="X6" s="101"/>
      <c r="Y6" s="101"/>
      <c r="Z6" s="101"/>
    </row>
    <row r="7" spans="1:26" ht="13.5" customHeight="1">
      <c r="A7" s="101"/>
      <c r="B7" s="101"/>
      <c r="C7" s="100"/>
      <c r="D7" s="100"/>
      <c r="E7" s="100"/>
      <c r="F7" s="100"/>
      <c r="G7" s="100"/>
      <c r="H7" s="100"/>
      <c r="I7" s="100"/>
      <c r="J7" s="100"/>
      <c r="K7" s="100"/>
      <c r="L7" s="100"/>
      <c r="M7" s="100"/>
      <c r="N7" s="100"/>
      <c r="O7" s="101"/>
      <c r="P7" s="101"/>
      <c r="Q7" s="101"/>
      <c r="R7" s="101"/>
      <c r="S7" s="101"/>
      <c r="T7" s="101"/>
      <c r="U7" s="101"/>
      <c r="V7" s="101"/>
      <c r="W7" s="101"/>
      <c r="X7" s="101"/>
      <c r="Y7" s="101"/>
      <c r="Z7" s="101"/>
    </row>
    <row r="8" spans="1:26" ht="13.5" customHeight="1" thickBot="1">
      <c r="A8" s="287" t="s">
        <v>205</v>
      </c>
      <c r="B8" s="287"/>
      <c r="C8" s="287"/>
      <c r="D8" s="287"/>
      <c r="E8" s="287"/>
      <c r="F8" s="287"/>
      <c r="G8" s="287"/>
      <c r="H8" s="101"/>
      <c r="I8" s="101"/>
      <c r="J8" s="101"/>
      <c r="K8" s="101"/>
      <c r="L8" s="101"/>
      <c r="M8" s="100"/>
      <c r="N8" s="100"/>
      <c r="O8" s="101"/>
      <c r="P8" s="101"/>
      <c r="Q8" s="101"/>
      <c r="R8" s="101"/>
      <c r="S8" s="101"/>
      <c r="T8" s="101"/>
      <c r="U8" s="101"/>
      <c r="V8" s="101"/>
      <c r="W8" s="101"/>
      <c r="X8" s="101"/>
      <c r="Y8" s="101"/>
      <c r="Z8" s="101"/>
    </row>
    <row r="9" spans="1:26" ht="13.5" customHeight="1" thickTop="1">
      <c r="A9" s="286" t="s">
        <v>110</v>
      </c>
      <c r="B9" s="286"/>
      <c r="C9" s="105">
        <v>30</v>
      </c>
      <c r="D9" s="105" t="s">
        <v>111</v>
      </c>
      <c r="E9" s="105" t="s">
        <v>112</v>
      </c>
      <c r="F9" s="105">
        <f>$C$4-$B$41*$C$9^2</f>
        <v>0</v>
      </c>
      <c r="G9" s="106" t="s">
        <v>113</v>
      </c>
      <c r="H9" s="283" t="s">
        <v>114</v>
      </c>
      <c r="I9" s="282"/>
      <c r="J9" s="282"/>
      <c r="K9" s="282"/>
      <c r="L9" s="101"/>
      <c r="M9" s="101"/>
      <c r="N9" s="100"/>
      <c r="O9" s="101"/>
      <c r="P9" s="101"/>
      <c r="Q9" s="101"/>
      <c r="R9" s="101"/>
      <c r="S9" s="101"/>
      <c r="T9" s="101"/>
      <c r="U9" s="101"/>
      <c r="V9" s="101"/>
      <c r="W9" s="101"/>
      <c r="X9" s="101"/>
      <c r="Y9" s="101"/>
      <c r="Z9" s="101"/>
    </row>
    <row r="10" spans="1:26" ht="13.5" customHeight="1">
      <c r="A10" s="282" t="s">
        <v>115</v>
      </c>
      <c r="B10" s="282"/>
      <c r="C10" s="107">
        <v>70</v>
      </c>
      <c r="D10" s="107" t="s">
        <v>111</v>
      </c>
      <c r="E10" s="107" t="s">
        <v>112</v>
      </c>
      <c r="F10" s="107">
        <f>$C$6-$B$42*$C$10^2</f>
        <v>204</v>
      </c>
      <c r="G10" s="108" t="s">
        <v>113</v>
      </c>
      <c r="H10" s="109">
        <f>2*$B$41*$C$9</f>
        <v>6</v>
      </c>
      <c r="I10" s="284" t="s">
        <v>116</v>
      </c>
      <c r="J10" s="284"/>
      <c r="K10" s="285"/>
      <c r="L10" s="101"/>
      <c r="M10" s="101"/>
      <c r="N10" s="100"/>
      <c r="O10" s="101"/>
      <c r="P10" s="101"/>
      <c r="Q10" s="101"/>
      <c r="R10" s="101"/>
      <c r="S10" s="101"/>
      <c r="T10" s="101"/>
      <c r="U10" s="101"/>
      <c r="V10" s="101"/>
      <c r="W10" s="101"/>
      <c r="X10" s="101"/>
      <c r="Y10" s="101"/>
      <c r="Z10" s="101"/>
    </row>
    <row r="11" spans="1:26" ht="13.5" customHeight="1">
      <c r="A11" s="282" t="s">
        <v>117</v>
      </c>
      <c r="B11" s="282"/>
      <c r="C11" s="107">
        <f>C9+C10</f>
        <v>100</v>
      </c>
      <c r="D11" s="107" t="s">
        <v>111</v>
      </c>
      <c r="E11" s="107" t="s">
        <v>112</v>
      </c>
      <c r="F11" s="107">
        <f>F9+F10</f>
        <v>204</v>
      </c>
      <c r="G11" s="108" t="s">
        <v>113</v>
      </c>
      <c r="H11" s="109">
        <f>2*$B$42*$C$10</f>
        <v>5.6000000000000005</v>
      </c>
      <c r="I11" s="284" t="s">
        <v>118</v>
      </c>
      <c r="J11" s="284"/>
      <c r="K11" s="285"/>
      <c r="L11" s="101"/>
      <c r="M11" s="101"/>
      <c r="N11" s="100"/>
      <c r="O11" s="101"/>
      <c r="P11" s="101"/>
      <c r="Q11" s="101"/>
      <c r="R11" s="101"/>
      <c r="S11" s="101"/>
      <c r="T11" s="101"/>
      <c r="U11" s="101"/>
      <c r="V11" s="101"/>
      <c r="W11" s="101"/>
      <c r="X11" s="101"/>
      <c r="Y11" s="101"/>
      <c r="Z11" s="101"/>
    </row>
    <row r="12" spans="1:26" ht="13.5" customHeight="1">
      <c r="A12" s="110"/>
      <c r="B12" s="100"/>
      <c r="C12" s="111"/>
      <c r="D12" s="111"/>
      <c r="E12" s="111"/>
      <c r="F12" s="111"/>
      <c r="G12" s="111"/>
      <c r="H12" s="111"/>
      <c r="I12" s="111"/>
      <c r="J12" s="111"/>
      <c r="K12" s="111"/>
      <c r="L12" s="111"/>
      <c r="M12" s="111"/>
      <c r="N12" s="100"/>
      <c r="O12" s="101"/>
      <c r="P12" s="101"/>
      <c r="Q12" s="101"/>
      <c r="R12" s="101"/>
      <c r="S12" s="101"/>
      <c r="T12" s="101"/>
      <c r="U12" s="101"/>
      <c r="V12" s="101"/>
      <c r="W12" s="101"/>
      <c r="X12" s="101"/>
      <c r="Y12" s="101"/>
      <c r="Z12" s="101"/>
    </row>
    <row r="13" spans="1:26" ht="13.5" customHeight="1">
      <c r="A13" s="280" t="s">
        <v>209</v>
      </c>
      <c r="B13" s="280"/>
      <c r="C13" s="280"/>
      <c r="D13" s="280"/>
      <c r="E13" s="280"/>
      <c r="F13" s="280"/>
      <c r="G13" s="111"/>
      <c r="H13" s="111"/>
      <c r="I13" s="111"/>
      <c r="J13" s="111"/>
      <c r="K13" s="111"/>
      <c r="L13" s="111"/>
      <c r="M13" s="111"/>
      <c r="N13" s="100"/>
      <c r="O13" s="101"/>
      <c r="P13" s="101"/>
      <c r="Q13" s="101"/>
      <c r="R13" s="101"/>
      <c r="S13" s="101"/>
      <c r="T13" s="101"/>
      <c r="U13" s="101"/>
      <c r="V13" s="101"/>
      <c r="W13" s="101"/>
      <c r="X13" s="101"/>
      <c r="Y13" s="101"/>
      <c r="Z13" s="101"/>
    </row>
    <row r="14" spans="1:26" ht="13.5" customHeight="1">
      <c r="A14" s="101"/>
      <c r="B14" s="101"/>
      <c r="C14" s="101"/>
      <c r="D14" s="101"/>
      <c r="E14" s="101"/>
      <c r="F14" s="101"/>
      <c r="G14" s="101"/>
      <c r="H14" s="101"/>
      <c r="I14" s="101"/>
      <c r="J14" s="101"/>
      <c r="K14" s="101"/>
      <c r="L14" s="101"/>
      <c r="M14" s="101"/>
      <c r="N14" s="100"/>
      <c r="O14" s="101"/>
      <c r="P14" s="101"/>
      <c r="Q14" s="101"/>
      <c r="R14" s="101"/>
      <c r="S14" s="101"/>
      <c r="T14" s="101"/>
      <c r="U14" s="101"/>
      <c r="V14" s="101"/>
      <c r="W14" s="101"/>
      <c r="X14" s="101"/>
      <c r="Y14" s="101"/>
      <c r="Z14" s="101"/>
    </row>
    <row r="15" spans="1:26" ht="13.5" customHeight="1" thickBot="1">
      <c r="A15" s="270" t="s">
        <v>119</v>
      </c>
      <c r="B15" s="270"/>
      <c r="C15" s="270"/>
      <c r="D15" s="270"/>
      <c r="E15" s="270"/>
      <c r="F15" s="270"/>
      <c r="G15" s="270"/>
      <c r="H15" s="270"/>
      <c r="I15" s="270"/>
      <c r="J15" s="270"/>
      <c r="K15" s="270"/>
      <c r="L15" s="101"/>
      <c r="M15" s="101"/>
      <c r="N15" s="100"/>
      <c r="O15" s="101"/>
      <c r="P15" s="101"/>
      <c r="Q15" s="101"/>
      <c r="R15" s="101"/>
      <c r="S15" s="101"/>
      <c r="T15" s="101"/>
      <c r="U15" s="101"/>
      <c r="V15" s="101"/>
      <c r="W15" s="101"/>
      <c r="X15" s="101"/>
      <c r="Y15" s="101"/>
      <c r="Z15" s="101"/>
    </row>
    <row r="16" spans="1:26" ht="13.5" customHeight="1" thickTop="1">
      <c r="A16" s="281" t="s">
        <v>147</v>
      </c>
      <c r="B16" s="281"/>
      <c r="C16" s="112">
        <f>MIN(($B$42/($B$41+$B$42))*$C$11,$C$3)</f>
        <v>28.57142857142857</v>
      </c>
      <c r="D16" s="112" t="s">
        <v>111</v>
      </c>
      <c r="E16" s="112" t="s">
        <v>112</v>
      </c>
      <c r="F16" s="112">
        <f>$C$4-$B$41*$C$16^2</f>
        <v>8.367346938775512</v>
      </c>
      <c r="G16" s="113" t="s">
        <v>113</v>
      </c>
      <c r="H16" s="274" t="s">
        <v>114</v>
      </c>
      <c r="I16" s="275"/>
      <c r="J16" s="275"/>
      <c r="K16" s="275"/>
      <c r="L16" s="101"/>
      <c r="M16" s="101"/>
      <c r="N16" s="100"/>
      <c r="O16" s="101"/>
      <c r="P16" s="101"/>
      <c r="Q16" s="101"/>
      <c r="R16" s="101"/>
      <c r="S16" s="101"/>
      <c r="T16" s="101"/>
      <c r="U16" s="101"/>
      <c r="V16" s="101"/>
      <c r="W16" s="101"/>
      <c r="X16" s="101"/>
      <c r="Y16" s="101"/>
      <c r="Z16" s="101"/>
    </row>
    <row r="17" spans="1:26" ht="13.5" customHeight="1">
      <c r="A17" s="282" t="s">
        <v>115</v>
      </c>
      <c r="B17" s="282"/>
      <c r="C17" s="107">
        <f>MIN(($B$41/($B$41+$B$42))*$C$11,$C$5)</f>
        <v>71.42857142857143</v>
      </c>
      <c r="D17" s="107" t="s">
        <v>111</v>
      </c>
      <c r="E17" s="107" t="s">
        <v>112</v>
      </c>
      <c r="F17" s="107">
        <f>$C$6-$B$42*$C$17^2</f>
        <v>195.91836734693877</v>
      </c>
      <c r="G17" s="108" t="s">
        <v>113</v>
      </c>
      <c r="H17" s="114">
        <f>2*$B$41*$C$16</f>
        <v>5.714285714285714</v>
      </c>
      <c r="I17" s="276" t="s">
        <v>120</v>
      </c>
      <c r="J17" s="276"/>
      <c r="K17" s="277"/>
      <c r="L17" s="101"/>
      <c r="M17" s="101"/>
      <c r="N17" s="111"/>
      <c r="O17" s="101"/>
      <c r="P17" s="101"/>
      <c r="Q17" s="101"/>
      <c r="R17" s="101"/>
      <c r="S17" s="101"/>
      <c r="T17" s="101"/>
      <c r="U17" s="101"/>
      <c r="V17" s="101"/>
      <c r="W17" s="101"/>
      <c r="X17" s="101"/>
      <c r="Y17" s="101"/>
      <c r="Z17" s="101"/>
    </row>
    <row r="18" spans="1:26" ht="13.5" customHeight="1" thickBot="1">
      <c r="A18" s="271" t="s">
        <v>149</v>
      </c>
      <c r="B18" s="271"/>
      <c r="C18" s="115">
        <f>C16+C17</f>
        <v>100</v>
      </c>
      <c r="D18" s="115" t="s">
        <v>111</v>
      </c>
      <c r="E18" s="115" t="s">
        <v>112</v>
      </c>
      <c r="F18" s="115">
        <f>F16+F17</f>
        <v>204.28571428571428</v>
      </c>
      <c r="G18" s="116" t="s">
        <v>113</v>
      </c>
      <c r="H18" s="117">
        <f>2*$B$42*$C$17</f>
        <v>5.714285714285714</v>
      </c>
      <c r="I18" s="278" t="s">
        <v>121</v>
      </c>
      <c r="J18" s="278"/>
      <c r="K18" s="279"/>
      <c r="L18" s="101"/>
      <c r="M18" s="101"/>
      <c r="N18" s="100"/>
      <c r="O18" s="101"/>
      <c r="P18" s="101"/>
      <c r="Q18" s="101"/>
      <c r="R18" s="101"/>
      <c r="S18" s="101"/>
      <c r="T18" s="101"/>
      <c r="U18" s="101"/>
      <c r="V18" s="101"/>
      <c r="W18" s="101"/>
      <c r="X18" s="101"/>
      <c r="Y18" s="101"/>
      <c r="Z18" s="101"/>
    </row>
    <row r="19" spans="1:26" ht="13.5" customHeight="1" thickTop="1">
      <c r="A19" s="272" t="s">
        <v>122</v>
      </c>
      <c r="B19" s="273"/>
      <c r="C19" s="273"/>
      <c r="D19" s="273"/>
      <c r="E19" s="273"/>
      <c r="F19" s="273"/>
      <c r="G19" s="121">
        <f>$F$18-$F$11</f>
        <v>0.2857142857142776</v>
      </c>
      <c r="H19" s="121" t="s">
        <v>210</v>
      </c>
      <c r="I19" s="121">
        <f>100*G19/F18</f>
        <v>0.1398601398601359</v>
      </c>
      <c r="J19" s="122" t="s">
        <v>123</v>
      </c>
      <c r="K19" s="118"/>
      <c r="L19" s="101"/>
      <c r="M19" s="101"/>
      <c r="N19" s="100"/>
      <c r="O19" s="101"/>
      <c r="P19" s="101"/>
      <c r="Q19" s="101"/>
      <c r="R19" s="101"/>
      <c r="S19" s="101"/>
      <c r="T19" s="101"/>
      <c r="U19" s="101"/>
      <c r="V19" s="101"/>
      <c r="W19" s="101"/>
      <c r="X19" s="101"/>
      <c r="Y19" s="101"/>
      <c r="Z19" s="101"/>
    </row>
    <row r="20" spans="1:26" ht="13.5" customHeight="1">
      <c r="A20" s="100"/>
      <c r="B20" s="100"/>
      <c r="C20" s="100"/>
      <c r="D20" s="100"/>
      <c r="E20" s="100"/>
      <c r="F20" s="100"/>
      <c r="G20" s="100"/>
      <c r="H20" s="100"/>
      <c r="I20" s="100"/>
      <c r="J20" s="100"/>
      <c r="K20" s="100"/>
      <c r="L20" s="100"/>
      <c r="M20" s="100"/>
      <c r="N20" s="100"/>
      <c r="O20" s="101"/>
      <c r="P20" s="101"/>
      <c r="Q20" s="101"/>
      <c r="R20" s="101"/>
      <c r="S20" s="101"/>
      <c r="T20" s="101"/>
      <c r="U20" s="101"/>
      <c r="V20" s="101"/>
      <c r="W20" s="101"/>
      <c r="X20" s="101"/>
      <c r="Y20" s="101"/>
      <c r="Z20" s="101"/>
    </row>
    <row r="21" spans="1:26" ht="13.5" customHeight="1">
      <c r="A21" s="100"/>
      <c r="B21" s="100"/>
      <c r="C21" s="100"/>
      <c r="D21" s="100"/>
      <c r="E21" s="100"/>
      <c r="F21" s="100"/>
      <c r="G21" s="100"/>
      <c r="H21" s="100"/>
      <c r="I21" s="100"/>
      <c r="J21" s="100"/>
      <c r="K21" s="100"/>
      <c r="L21" s="100"/>
      <c r="M21" s="100"/>
      <c r="N21" s="100"/>
      <c r="O21" s="101"/>
      <c r="P21" s="101"/>
      <c r="Q21" s="101"/>
      <c r="R21" s="101"/>
      <c r="S21" s="101"/>
      <c r="T21" s="101"/>
      <c r="U21" s="101"/>
      <c r="V21" s="101"/>
      <c r="W21" s="101"/>
      <c r="X21" s="101"/>
      <c r="Y21" s="101"/>
      <c r="Z21" s="101"/>
    </row>
    <row r="22" spans="1:26" ht="13.5" customHeight="1">
      <c r="A22" s="100"/>
      <c r="B22" s="100"/>
      <c r="C22" s="100"/>
      <c r="D22" s="100"/>
      <c r="E22" s="100"/>
      <c r="F22" s="100"/>
      <c r="G22" s="100"/>
      <c r="H22" s="100"/>
      <c r="I22" s="100"/>
      <c r="J22" s="100"/>
      <c r="K22" s="100"/>
      <c r="L22" s="100"/>
      <c r="M22" s="100"/>
      <c r="N22" s="100"/>
      <c r="O22" s="101"/>
      <c r="P22" s="101"/>
      <c r="Q22" s="101"/>
      <c r="R22" s="101"/>
      <c r="S22" s="101"/>
      <c r="T22" s="101"/>
      <c r="U22" s="101"/>
      <c r="V22" s="101"/>
      <c r="W22" s="101"/>
      <c r="X22" s="101"/>
      <c r="Y22" s="101"/>
      <c r="Z22" s="101"/>
    </row>
    <row r="23" spans="1:26" ht="13.5" customHeight="1">
      <c r="A23" s="100"/>
      <c r="B23" s="100"/>
      <c r="C23" s="100"/>
      <c r="D23" s="100"/>
      <c r="E23" s="100"/>
      <c r="F23" s="100"/>
      <c r="G23" s="100"/>
      <c r="H23" s="100"/>
      <c r="I23" s="100"/>
      <c r="J23" s="100"/>
      <c r="K23" s="100"/>
      <c r="L23" s="100"/>
      <c r="M23" s="100"/>
      <c r="N23" s="100"/>
      <c r="O23" s="101"/>
      <c r="P23" s="101"/>
      <c r="Q23" s="101"/>
      <c r="R23" s="101"/>
      <c r="S23" s="101"/>
      <c r="T23" s="101"/>
      <c r="U23" s="101"/>
      <c r="V23" s="101"/>
      <c r="W23" s="101"/>
      <c r="X23" s="101"/>
      <c r="Y23" s="101"/>
      <c r="Z23" s="101"/>
    </row>
    <row r="24" spans="1:26" ht="13.5" customHeight="1">
      <c r="A24" s="119"/>
      <c r="B24" s="119"/>
      <c r="C24" s="119"/>
      <c r="D24" s="119"/>
      <c r="E24" s="119"/>
      <c r="F24" s="119"/>
      <c r="G24" s="119"/>
      <c r="H24" s="119"/>
      <c r="I24" s="119"/>
      <c r="J24" s="119"/>
      <c r="K24" s="119"/>
      <c r="L24" s="119"/>
      <c r="M24" s="120"/>
      <c r="N24" s="101"/>
      <c r="O24" s="101"/>
      <c r="P24" s="101"/>
      <c r="Q24" s="101"/>
      <c r="R24" s="101"/>
      <c r="S24" s="101"/>
      <c r="T24" s="101"/>
      <c r="U24" s="101"/>
      <c r="V24" s="101"/>
      <c r="W24" s="101"/>
      <c r="X24" s="101"/>
      <c r="Y24" s="101"/>
      <c r="Z24" s="101"/>
    </row>
    <row r="25" spans="1:26" ht="13.5" customHeight="1">
      <c r="A25" s="119"/>
      <c r="B25" s="119"/>
      <c r="C25" s="119"/>
      <c r="D25" s="119"/>
      <c r="E25" s="119"/>
      <c r="F25" s="119"/>
      <c r="G25" s="119"/>
      <c r="H25" s="119"/>
      <c r="I25" s="119"/>
      <c r="J25" s="119"/>
      <c r="K25" s="119"/>
      <c r="L25" s="119"/>
      <c r="M25" s="120"/>
      <c r="N25" s="101"/>
      <c r="O25" s="101"/>
      <c r="P25" s="101"/>
      <c r="Q25" s="101"/>
      <c r="R25" s="101"/>
      <c r="S25" s="101"/>
      <c r="T25" s="101"/>
      <c r="U25" s="101"/>
      <c r="V25" s="101"/>
      <c r="W25" s="101"/>
      <c r="X25" s="101"/>
      <c r="Y25" s="101"/>
      <c r="Z25" s="101"/>
    </row>
    <row r="26" spans="1:26" ht="13.5" customHeight="1">
      <c r="A26" s="119"/>
      <c r="B26" s="119"/>
      <c r="C26" s="119"/>
      <c r="D26" s="119"/>
      <c r="E26" s="119"/>
      <c r="F26" s="119"/>
      <c r="G26" s="119"/>
      <c r="H26" s="119"/>
      <c r="I26" s="119"/>
      <c r="J26" s="119"/>
      <c r="K26" s="119"/>
      <c r="L26" s="119"/>
      <c r="M26" s="101"/>
      <c r="N26" s="101"/>
      <c r="O26" s="101"/>
      <c r="P26" s="101"/>
      <c r="Q26" s="101"/>
      <c r="R26" s="101"/>
      <c r="S26" s="101"/>
      <c r="T26" s="101"/>
      <c r="U26" s="101"/>
      <c r="V26" s="101"/>
      <c r="W26" s="101"/>
      <c r="X26" s="101"/>
      <c r="Y26" s="101"/>
      <c r="Z26" s="101"/>
    </row>
    <row r="27" spans="1:26" ht="13.5" customHeight="1">
      <c r="A27" s="119"/>
      <c r="B27" s="119"/>
      <c r="C27" s="119"/>
      <c r="D27" s="119"/>
      <c r="E27" s="119"/>
      <c r="F27" s="119"/>
      <c r="G27" s="119"/>
      <c r="H27" s="119"/>
      <c r="I27" s="119"/>
      <c r="J27" s="119"/>
      <c r="K27" s="119"/>
      <c r="L27" s="119"/>
      <c r="M27" s="101"/>
      <c r="N27" s="101"/>
      <c r="O27" s="101"/>
      <c r="P27" s="101"/>
      <c r="Q27" s="101"/>
      <c r="R27" s="101"/>
      <c r="S27" s="101"/>
      <c r="T27" s="101"/>
      <c r="U27" s="101"/>
      <c r="V27" s="101"/>
      <c r="W27" s="101"/>
      <c r="X27" s="101"/>
      <c r="Y27" s="101"/>
      <c r="Z27" s="101"/>
    </row>
    <row r="28" spans="1:26" ht="13.5" customHeight="1">
      <c r="A28" s="119"/>
      <c r="B28" s="119"/>
      <c r="C28" s="119"/>
      <c r="D28" s="119"/>
      <c r="E28" s="119"/>
      <c r="F28" s="119"/>
      <c r="G28" s="119"/>
      <c r="H28" s="119"/>
      <c r="I28" s="119"/>
      <c r="J28" s="119"/>
      <c r="K28" s="119"/>
      <c r="L28" s="119"/>
      <c r="M28" s="101"/>
      <c r="N28" s="101"/>
      <c r="O28" s="101"/>
      <c r="P28" s="101"/>
      <c r="Q28" s="101"/>
      <c r="R28" s="101"/>
      <c r="S28" s="101"/>
      <c r="T28" s="101"/>
      <c r="U28" s="101"/>
      <c r="V28" s="101"/>
      <c r="W28" s="101"/>
      <c r="X28" s="101"/>
      <c r="Y28" s="101"/>
      <c r="Z28" s="101"/>
    </row>
    <row r="29" spans="1:26" ht="13.5" customHeight="1">
      <c r="A29" s="119"/>
      <c r="B29" s="119"/>
      <c r="C29" s="119"/>
      <c r="D29" s="119"/>
      <c r="E29" s="119"/>
      <c r="F29" s="119"/>
      <c r="G29" s="119"/>
      <c r="H29" s="119"/>
      <c r="I29" s="119"/>
      <c r="J29" s="119"/>
      <c r="K29" s="119"/>
      <c r="L29" s="119"/>
      <c r="M29" s="101"/>
      <c r="N29" s="101"/>
      <c r="O29" s="101"/>
      <c r="P29" s="101"/>
      <c r="Q29" s="101"/>
      <c r="R29" s="101"/>
      <c r="S29" s="101"/>
      <c r="T29" s="101"/>
      <c r="U29" s="101"/>
      <c r="V29" s="101"/>
      <c r="W29" s="101"/>
      <c r="X29" s="101"/>
      <c r="Y29" s="101"/>
      <c r="Z29" s="101"/>
    </row>
    <row r="30" spans="1:26" ht="13.5" customHeight="1">
      <c r="A30" s="119"/>
      <c r="B30" s="119"/>
      <c r="C30" s="119"/>
      <c r="D30" s="119"/>
      <c r="E30" s="119"/>
      <c r="F30" s="119"/>
      <c r="G30" s="119"/>
      <c r="H30" s="119"/>
      <c r="I30" s="119"/>
      <c r="J30" s="119"/>
      <c r="K30" s="119"/>
      <c r="L30" s="119"/>
      <c r="M30" s="101"/>
      <c r="N30" s="101"/>
      <c r="O30" s="101"/>
      <c r="P30" s="101"/>
      <c r="Q30" s="101"/>
      <c r="R30" s="101"/>
      <c r="S30" s="101"/>
      <c r="T30" s="101"/>
      <c r="U30" s="101"/>
      <c r="V30" s="101"/>
      <c r="W30" s="101"/>
      <c r="X30" s="101"/>
      <c r="Y30" s="101"/>
      <c r="Z30" s="101"/>
    </row>
    <row r="31" spans="1:26" ht="13.5" customHeight="1">
      <c r="A31" s="119" t="s">
        <v>21</v>
      </c>
      <c r="B31" s="119"/>
      <c r="C31" s="119"/>
      <c r="D31" s="119"/>
      <c r="E31" s="119"/>
      <c r="F31" s="119"/>
      <c r="G31" s="119"/>
      <c r="H31" s="119"/>
      <c r="I31" s="119"/>
      <c r="J31" s="119"/>
      <c r="K31" s="119"/>
      <c r="L31" s="119"/>
      <c r="M31" s="101"/>
      <c r="N31" s="101"/>
      <c r="O31" s="101"/>
      <c r="P31" s="101"/>
      <c r="Q31" s="101"/>
      <c r="R31" s="101"/>
      <c r="S31" s="101"/>
      <c r="T31" s="101"/>
      <c r="U31" s="101"/>
      <c r="V31" s="101"/>
      <c r="W31" s="101"/>
      <c r="X31" s="101"/>
      <c r="Y31" s="101"/>
      <c r="Z31" s="101"/>
    </row>
    <row r="32" spans="1:26" ht="13.5" customHeight="1">
      <c r="A32" s="119" t="s">
        <v>126</v>
      </c>
      <c r="B32" s="119"/>
      <c r="C32" s="119"/>
      <c r="D32" s="119"/>
      <c r="E32" s="119"/>
      <c r="F32" s="119"/>
      <c r="G32" s="119"/>
      <c r="H32" s="119"/>
      <c r="I32" s="119"/>
      <c r="J32" s="119"/>
      <c r="K32" s="119"/>
      <c r="L32" s="119"/>
      <c r="M32" s="101"/>
      <c r="N32" s="101"/>
      <c r="O32" s="101"/>
      <c r="P32" s="101"/>
      <c r="Q32" s="101"/>
      <c r="R32" s="101"/>
      <c r="S32" s="101"/>
      <c r="T32" s="101"/>
      <c r="U32" s="101"/>
      <c r="V32" s="101"/>
      <c r="W32" s="101"/>
      <c r="X32" s="101"/>
      <c r="Y32" s="101"/>
      <c r="Z32" s="101"/>
    </row>
    <row r="33" spans="1:26" ht="13.5" customHeight="1">
      <c r="A33" s="119" t="s">
        <v>127</v>
      </c>
      <c r="B33" s="119"/>
      <c r="C33" s="119"/>
      <c r="D33" s="119"/>
      <c r="E33" s="119"/>
      <c r="F33" s="119"/>
      <c r="G33" s="119"/>
      <c r="H33" s="119"/>
      <c r="I33" s="119"/>
      <c r="J33" s="119"/>
      <c r="K33" s="119"/>
      <c r="L33" s="119"/>
      <c r="M33" s="101"/>
      <c r="N33" s="101"/>
      <c r="O33" s="101"/>
      <c r="P33" s="101"/>
      <c r="Q33" s="101"/>
      <c r="R33" s="101"/>
      <c r="S33" s="101"/>
      <c r="T33" s="101"/>
      <c r="U33" s="101"/>
      <c r="V33" s="101"/>
      <c r="W33" s="101"/>
      <c r="X33" s="101"/>
      <c r="Y33" s="101"/>
      <c r="Z33" s="101"/>
    </row>
    <row r="34" spans="1:26" ht="13.5" customHeight="1">
      <c r="A34" s="119" t="s">
        <v>128</v>
      </c>
      <c r="B34" s="119"/>
      <c r="C34" s="119"/>
      <c r="D34" s="119"/>
      <c r="E34" s="119"/>
      <c r="F34" s="119"/>
      <c r="G34" s="119"/>
      <c r="H34" s="119"/>
      <c r="I34" s="119"/>
      <c r="J34" s="119"/>
      <c r="K34" s="119"/>
      <c r="L34" s="119"/>
      <c r="M34" s="101"/>
      <c r="N34" s="101"/>
      <c r="O34" s="101"/>
      <c r="P34" s="101"/>
      <c r="Q34" s="101"/>
      <c r="R34" s="101"/>
      <c r="S34" s="101"/>
      <c r="T34" s="101"/>
      <c r="U34" s="101"/>
      <c r="V34" s="101"/>
      <c r="W34" s="101"/>
      <c r="X34" s="101"/>
      <c r="Y34" s="101"/>
      <c r="Z34" s="101"/>
    </row>
    <row r="35" spans="1:26" ht="13.5" customHeight="1">
      <c r="A35" s="119" t="s">
        <v>129</v>
      </c>
      <c r="B35" s="119"/>
      <c r="C35" s="119"/>
      <c r="D35" s="119"/>
      <c r="E35" s="119"/>
      <c r="F35" s="119"/>
      <c r="G35" s="119"/>
      <c r="H35" s="119"/>
      <c r="I35" s="119"/>
      <c r="J35" s="119"/>
      <c r="K35" s="119"/>
      <c r="L35" s="119"/>
      <c r="M35" s="101"/>
      <c r="N35" s="101"/>
      <c r="O35" s="101"/>
      <c r="P35" s="101"/>
      <c r="Q35" s="101"/>
      <c r="R35" s="101"/>
      <c r="S35" s="101"/>
      <c r="T35" s="101"/>
      <c r="U35" s="101"/>
      <c r="V35" s="101"/>
      <c r="W35" s="101"/>
      <c r="X35" s="101"/>
      <c r="Y35" s="101"/>
      <c r="Z35" s="101"/>
    </row>
    <row r="36" spans="1:26" ht="13.5" customHeight="1">
      <c r="A36" s="119" t="s">
        <v>130</v>
      </c>
      <c r="B36" s="119"/>
      <c r="C36" s="119"/>
      <c r="D36" s="119"/>
      <c r="E36" s="119"/>
      <c r="F36" s="119"/>
      <c r="G36" s="119"/>
      <c r="H36" s="119"/>
      <c r="I36" s="119"/>
      <c r="J36" s="119"/>
      <c r="K36" s="119"/>
      <c r="L36" s="119"/>
      <c r="M36" s="101"/>
      <c r="N36" s="101"/>
      <c r="O36" s="101"/>
      <c r="P36" s="101"/>
      <c r="Q36" s="101"/>
      <c r="R36" s="101"/>
      <c r="S36" s="101"/>
      <c r="T36" s="101"/>
      <c r="U36" s="101"/>
      <c r="V36" s="101"/>
      <c r="W36" s="101"/>
      <c r="X36" s="101"/>
      <c r="Y36" s="101"/>
      <c r="Z36" s="101"/>
    </row>
    <row r="37" spans="1:26" ht="13.5" customHeight="1">
      <c r="A37" s="119"/>
      <c r="B37" s="119"/>
      <c r="C37" s="119"/>
      <c r="D37" s="119"/>
      <c r="E37" s="119"/>
      <c r="F37" s="119"/>
      <c r="G37" s="119"/>
      <c r="H37" s="119"/>
      <c r="I37" s="119"/>
      <c r="J37" s="119"/>
      <c r="K37" s="119"/>
      <c r="L37" s="119"/>
      <c r="M37" s="101"/>
      <c r="N37" s="101"/>
      <c r="O37" s="101"/>
      <c r="P37" s="101"/>
      <c r="Q37" s="101"/>
      <c r="R37" s="101"/>
      <c r="S37" s="101"/>
      <c r="T37" s="101"/>
      <c r="U37" s="101"/>
      <c r="V37" s="101"/>
      <c r="W37" s="101"/>
      <c r="X37" s="101"/>
      <c r="Y37" s="101"/>
      <c r="Z37" s="101"/>
    </row>
    <row r="38" spans="1:26" ht="13.5" customHeight="1">
      <c r="A38" s="119"/>
      <c r="B38" s="119" t="s">
        <v>131</v>
      </c>
      <c r="C38" s="119"/>
      <c r="D38" s="119"/>
      <c r="E38" s="119"/>
      <c r="F38" s="119"/>
      <c r="G38" s="119"/>
      <c r="H38" s="119"/>
      <c r="I38" s="119"/>
      <c r="J38" s="119"/>
      <c r="K38" s="119"/>
      <c r="L38" s="119"/>
      <c r="M38" s="101"/>
      <c r="N38" s="101"/>
      <c r="O38" s="101"/>
      <c r="P38" s="101"/>
      <c r="Q38" s="101"/>
      <c r="R38" s="101"/>
      <c r="S38" s="101"/>
      <c r="T38" s="101"/>
      <c r="U38" s="101"/>
      <c r="V38" s="101"/>
      <c r="W38" s="101"/>
      <c r="X38" s="101"/>
      <c r="Y38" s="101"/>
      <c r="Z38" s="101"/>
    </row>
    <row r="39" spans="1:26" ht="13.5" customHeight="1">
      <c r="A39" s="119"/>
      <c r="B39" s="119" t="s">
        <v>132</v>
      </c>
      <c r="C39" s="119"/>
      <c r="D39" s="119"/>
      <c r="E39" s="119"/>
      <c r="F39" s="119"/>
      <c r="G39" s="119"/>
      <c r="H39" s="119"/>
      <c r="I39" s="119"/>
      <c r="J39" s="119"/>
      <c r="K39" s="119"/>
      <c r="L39" s="119"/>
      <c r="M39" s="101"/>
      <c r="N39" s="101"/>
      <c r="O39" s="101"/>
      <c r="P39" s="101"/>
      <c r="Q39" s="101"/>
      <c r="R39" s="101"/>
      <c r="S39" s="101"/>
      <c r="T39" s="101"/>
      <c r="U39" s="101"/>
      <c r="V39" s="101"/>
      <c r="W39" s="101"/>
      <c r="X39" s="101"/>
      <c r="Y39" s="101"/>
      <c r="Z39" s="101"/>
    </row>
    <row r="40" spans="1:26" ht="13.5" customHeight="1">
      <c r="A40" s="119"/>
      <c r="B40" s="119"/>
      <c r="C40" s="119"/>
      <c r="D40" s="119"/>
      <c r="E40" s="119"/>
      <c r="F40" s="119"/>
      <c r="G40" s="119"/>
      <c r="H40" s="119"/>
      <c r="I40" s="119"/>
      <c r="J40" s="119"/>
      <c r="K40" s="119"/>
      <c r="L40" s="119"/>
      <c r="M40" s="101"/>
      <c r="N40" s="101"/>
      <c r="O40" s="101"/>
      <c r="P40" s="101"/>
      <c r="Q40" s="101"/>
      <c r="R40" s="101"/>
      <c r="S40" s="101"/>
      <c r="T40" s="101"/>
      <c r="U40" s="101"/>
      <c r="V40" s="101"/>
      <c r="W40" s="101"/>
      <c r="X40" s="101"/>
      <c r="Y40" s="101"/>
      <c r="Z40" s="101"/>
    </row>
    <row r="41" spans="1:26" ht="13.5" customHeight="1">
      <c r="A41" s="119" t="s">
        <v>124</v>
      </c>
      <c r="B41" s="119">
        <f>$C$4/$C$3^2</f>
        <v>0.1</v>
      </c>
      <c r="C41" s="119"/>
      <c r="D41" s="119"/>
      <c r="E41" s="119"/>
      <c r="F41" s="119"/>
      <c r="G41" s="119"/>
      <c r="H41" s="119"/>
      <c r="I41" s="119"/>
      <c r="J41" s="119"/>
      <c r="K41" s="119"/>
      <c r="L41" s="119"/>
      <c r="M41" s="101"/>
      <c r="N41" s="101"/>
      <c r="O41" s="101"/>
      <c r="P41" s="101"/>
      <c r="Q41" s="101"/>
      <c r="R41" s="101"/>
      <c r="S41" s="101"/>
      <c r="T41" s="101"/>
      <c r="U41" s="101"/>
      <c r="V41" s="101"/>
      <c r="W41" s="101"/>
      <c r="X41" s="101"/>
      <c r="Y41" s="101"/>
      <c r="Z41" s="101"/>
    </row>
    <row r="42" spans="1:26" ht="13.5" customHeight="1">
      <c r="A42" s="119" t="s">
        <v>125</v>
      </c>
      <c r="B42" s="119">
        <f>$C$6/$C$5^2</f>
        <v>0.04</v>
      </c>
      <c r="C42" s="119"/>
      <c r="D42" s="119"/>
      <c r="E42" s="119"/>
      <c r="F42" s="119"/>
      <c r="G42" s="119"/>
      <c r="H42" s="119"/>
      <c r="I42" s="119"/>
      <c r="J42" s="119"/>
      <c r="K42" s="119"/>
      <c r="L42" s="119"/>
      <c r="M42" s="101"/>
      <c r="N42" s="101"/>
      <c r="O42" s="101"/>
      <c r="P42" s="101"/>
      <c r="Q42" s="101"/>
      <c r="R42" s="101"/>
      <c r="S42" s="101"/>
      <c r="T42" s="101"/>
      <c r="U42" s="101"/>
      <c r="V42" s="101"/>
      <c r="W42" s="101"/>
      <c r="X42" s="101"/>
      <c r="Y42" s="101"/>
      <c r="Z42" s="101"/>
    </row>
    <row r="43" spans="1:26" ht="13.5" customHeight="1">
      <c r="A43" s="119"/>
      <c r="B43" s="119"/>
      <c r="C43" s="119"/>
      <c r="D43" s="119"/>
      <c r="E43" s="119"/>
      <c r="F43" s="119"/>
      <c r="G43" s="119"/>
      <c r="H43" s="119"/>
      <c r="I43" s="119"/>
      <c r="J43" s="119"/>
      <c r="K43" s="119"/>
      <c r="L43" s="119"/>
      <c r="M43" s="101"/>
      <c r="N43" s="101"/>
      <c r="O43" s="101"/>
      <c r="P43" s="101"/>
      <c r="Q43" s="101"/>
      <c r="R43" s="101"/>
      <c r="S43" s="101"/>
      <c r="T43" s="101"/>
      <c r="U43" s="101"/>
      <c r="V43" s="101"/>
      <c r="W43" s="101"/>
      <c r="X43" s="101"/>
      <c r="Y43" s="101"/>
      <c r="Z43" s="101"/>
    </row>
    <row r="44" spans="1:26" ht="13.5" customHeight="1">
      <c r="A44" s="119"/>
      <c r="B44" s="119"/>
      <c r="C44" s="119"/>
      <c r="D44" s="119"/>
      <c r="E44" s="119"/>
      <c r="F44" s="119"/>
      <c r="G44" s="119"/>
      <c r="H44" s="119"/>
      <c r="I44" s="119"/>
      <c r="J44" s="119"/>
      <c r="K44" s="119"/>
      <c r="L44" s="119"/>
      <c r="M44" s="101"/>
      <c r="N44" s="101"/>
      <c r="O44" s="101"/>
      <c r="P44" s="101"/>
      <c r="Q44" s="101"/>
      <c r="R44" s="101"/>
      <c r="S44" s="101"/>
      <c r="T44" s="101"/>
      <c r="U44" s="101"/>
      <c r="V44" s="101"/>
      <c r="W44" s="101"/>
      <c r="X44" s="101"/>
      <c r="Y44" s="101"/>
      <c r="Z44" s="101"/>
    </row>
    <row r="45" spans="1:26" ht="13.5" customHeight="1">
      <c r="A45" s="119"/>
      <c r="B45" s="119"/>
      <c r="C45" s="119"/>
      <c r="D45" s="119"/>
      <c r="E45" s="119"/>
      <c r="F45" s="119"/>
      <c r="G45" s="119"/>
      <c r="H45" s="119"/>
      <c r="I45" s="119"/>
      <c r="J45" s="119"/>
      <c r="K45" s="119"/>
      <c r="L45" s="119"/>
      <c r="M45" s="101"/>
      <c r="N45" s="101"/>
      <c r="O45" s="101"/>
      <c r="P45" s="101"/>
      <c r="Q45" s="101"/>
      <c r="R45" s="101"/>
      <c r="S45" s="101"/>
      <c r="T45" s="101"/>
      <c r="U45" s="101"/>
      <c r="V45" s="101"/>
      <c r="W45" s="101"/>
      <c r="X45" s="101"/>
      <c r="Y45" s="101"/>
      <c r="Z45" s="101"/>
    </row>
    <row r="46" spans="1:26" ht="13.5" customHeight="1">
      <c r="A46" s="119"/>
      <c r="B46" s="119"/>
      <c r="C46" s="119"/>
      <c r="D46" s="119"/>
      <c r="E46" s="119"/>
      <c r="F46" s="119"/>
      <c r="G46" s="119"/>
      <c r="H46" s="119"/>
      <c r="I46" s="119"/>
      <c r="J46" s="119"/>
      <c r="K46" s="119"/>
      <c r="L46" s="119"/>
      <c r="M46" s="101"/>
      <c r="N46" s="101"/>
      <c r="O46" s="101"/>
      <c r="P46" s="101"/>
      <c r="Q46" s="101"/>
      <c r="R46" s="101"/>
      <c r="S46" s="101"/>
      <c r="T46" s="101"/>
      <c r="U46" s="101"/>
      <c r="V46" s="101"/>
      <c r="W46" s="101"/>
      <c r="X46" s="101"/>
      <c r="Y46" s="101"/>
      <c r="Z46" s="101"/>
    </row>
    <row r="47" spans="1:26" ht="13.5" customHeight="1">
      <c r="A47" s="119"/>
      <c r="B47" s="119"/>
      <c r="C47" s="119"/>
      <c r="D47" s="119"/>
      <c r="E47" s="119"/>
      <c r="F47" s="119"/>
      <c r="G47" s="119"/>
      <c r="H47" s="119"/>
      <c r="I47" s="119"/>
      <c r="J47" s="119"/>
      <c r="K47" s="119"/>
      <c r="L47" s="119"/>
      <c r="M47" s="101"/>
      <c r="N47" s="101"/>
      <c r="O47" s="101"/>
      <c r="P47" s="101"/>
      <c r="Q47" s="101"/>
      <c r="R47" s="101"/>
      <c r="S47" s="101"/>
      <c r="T47" s="101"/>
      <c r="U47" s="101"/>
      <c r="V47" s="101"/>
      <c r="W47" s="101"/>
      <c r="X47" s="101"/>
      <c r="Y47" s="101"/>
      <c r="Z47" s="101"/>
    </row>
    <row r="48" spans="1:26" ht="13.5" customHeight="1">
      <c r="A48" s="119"/>
      <c r="B48" s="119"/>
      <c r="C48" s="119"/>
      <c r="D48" s="119"/>
      <c r="E48" s="119"/>
      <c r="F48" s="119"/>
      <c r="G48" s="119"/>
      <c r="H48" s="119"/>
      <c r="I48" s="119"/>
      <c r="J48" s="119"/>
      <c r="K48" s="119"/>
      <c r="L48" s="119"/>
      <c r="M48" s="101"/>
      <c r="N48" s="101"/>
      <c r="O48" s="101"/>
      <c r="P48" s="101"/>
      <c r="Q48" s="101"/>
      <c r="R48" s="101"/>
      <c r="S48" s="101"/>
      <c r="T48" s="101"/>
      <c r="U48" s="101"/>
      <c r="V48" s="101"/>
      <c r="W48" s="101"/>
      <c r="X48" s="101"/>
      <c r="Y48" s="101"/>
      <c r="Z48" s="101"/>
    </row>
    <row r="49" spans="1:26" ht="13.5" customHeight="1">
      <c r="A49" s="119"/>
      <c r="B49" s="119"/>
      <c r="C49" s="119"/>
      <c r="D49" s="119"/>
      <c r="E49" s="119"/>
      <c r="F49" s="119"/>
      <c r="G49" s="119"/>
      <c r="H49" s="119"/>
      <c r="I49" s="119"/>
      <c r="J49" s="119"/>
      <c r="K49" s="119"/>
      <c r="L49" s="119"/>
      <c r="M49" s="101"/>
      <c r="N49" s="101"/>
      <c r="O49" s="101"/>
      <c r="P49" s="101"/>
      <c r="Q49" s="101"/>
      <c r="R49" s="101"/>
      <c r="S49" s="101"/>
      <c r="T49" s="101"/>
      <c r="U49" s="101"/>
      <c r="V49" s="101"/>
      <c r="W49" s="101"/>
      <c r="X49" s="101"/>
      <c r="Y49" s="101"/>
      <c r="Z49" s="101"/>
    </row>
    <row r="50" spans="1:26" ht="13.5" customHeight="1">
      <c r="A50" s="119"/>
      <c r="B50" s="119"/>
      <c r="C50" s="119"/>
      <c r="D50" s="119"/>
      <c r="E50" s="119"/>
      <c r="F50" s="119"/>
      <c r="G50" s="119"/>
      <c r="H50" s="119"/>
      <c r="I50" s="119"/>
      <c r="J50" s="119"/>
      <c r="K50" s="119"/>
      <c r="L50" s="119"/>
      <c r="M50" s="101"/>
      <c r="N50" s="101"/>
      <c r="O50" s="101"/>
      <c r="P50" s="101"/>
      <c r="Q50" s="101"/>
      <c r="R50" s="101"/>
      <c r="S50" s="101"/>
      <c r="T50" s="101"/>
      <c r="U50" s="101"/>
      <c r="V50" s="101"/>
      <c r="W50" s="101"/>
      <c r="X50" s="101"/>
      <c r="Y50" s="101"/>
      <c r="Z50" s="101"/>
    </row>
    <row r="51" spans="1:26" ht="13.5" customHeight="1">
      <c r="A51" s="119"/>
      <c r="B51" s="119"/>
      <c r="C51" s="119"/>
      <c r="D51" s="119"/>
      <c r="E51" s="119"/>
      <c r="F51" s="119"/>
      <c r="G51" s="119"/>
      <c r="H51" s="119"/>
      <c r="I51" s="119"/>
      <c r="J51" s="119"/>
      <c r="K51" s="119"/>
      <c r="L51" s="119"/>
      <c r="M51" s="101"/>
      <c r="N51" s="101"/>
      <c r="O51" s="101"/>
      <c r="P51" s="101"/>
      <c r="Q51" s="101"/>
      <c r="R51" s="101"/>
      <c r="S51" s="101"/>
      <c r="T51" s="101"/>
      <c r="U51" s="101"/>
      <c r="V51" s="101"/>
      <c r="W51" s="101"/>
      <c r="X51" s="101"/>
      <c r="Y51" s="101"/>
      <c r="Z51" s="101"/>
    </row>
    <row r="52" spans="1:26" ht="13.5" customHeight="1">
      <c r="A52" s="119"/>
      <c r="B52" s="119"/>
      <c r="C52" s="119"/>
      <c r="D52" s="119"/>
      <c r="E52" s="119"/>
      <c r="F52" s="119"/>
      <c r="G52" s="119"/>
      <c r="H52" s="119"/>
      <c r="I52" s="119"/>
      <c r="J52" s="119"/>
      <c r="K52" s="119"/>
      <c r="L52" s="119"/>
      <c r="M52" s="101"/>
      <c r="N52" s="101"/>
      <c r="O52" s="101"/>
      <c r="P52" s="101"/>
      <c r="Q52" s="101"/>
      <c r="R52" s="101"/>
      <c r="S52" s="101"/>
      <c r="T52" s="101"/>
      <c r="U52" s="101"/>
      <c r="V52" s="101"/>
      <c r="W52" s="101"/>
      <c r="X52" s="101"/>
      <c r="Y52" s="101"/>
      <c r="Z52" s="101"/>
    </row>
    <row r="53" spans="1:26" ht="13.5" customHeight="1">
      <c r="A53" s="119"/>
      <c r="B53" s="119"/>
      <c r="C53" s="119"/>
      <c r="D53" s="119"/>
      <c r="E53" s="119"/>
      <c r="F53" s="119"/>
      <c r="G53" s="119"/>
      <c r="H53" s="119"/>
      <c r="I53" s="119"/>
      <c r="J53" s="119"/>
      <c r="K53" s="119"/>
      <c r="L53" s="119"/>
      <c r="M53" s="101"/>
      <c r="N53" s="101"/>
      <c r="O53" s="101"/>
      <c r="P53" s="101"/>
      <c r="Q53" s="101"/>
      <c r="R53" s="101"/>
      <c r="S53" s="101"/>
      <c r="T53" s="101"/>
      <c r="U53" s="101"/>
      <c r="V53" s="101"/>
      <c r="W53" s="101"/>
      <c r="X53" s="101"/>
      <c r="Y53" s="101"/>
      <c r="Z53" s="101"/>
    </row>
    <row r="54" spans="1:26" ht="13.5" customHeight="1">
      <c r="A54" s="119"/>
      <c r="B54" s="119"/>
      <c r="C54" s="119"/>
      <c r="D54" s="119"/>
      <c r="E54" s="119"/>
      <c r="F54" s="119"/>
      <c r="G54" s="119"/>
      <c r="H54" s="119"/>
      <c r="I54" s="119"/>
      <c r="J54" s="119"/>
      <c r="K54" s="119"/>
      <c r="L54" s="119"/>
      <c r="M54" s="101"/>
      <c r="N54" s="101"/>
      <c r="O54" s="101"/>
      <c r="P54" s="101"/>
      <c r="Q54" s="101"/>
      <c r="R54" s="101"/>
      <c r="S54" s="101"/>
      <c r="T54" s="101"/>
      <c r="U54" s="101"/>
      <c r="V54" s="101"/>
      <c r="W54" s="101"/>
      <c r="X54" s="101"/>
      <c r="Y54" s="101"/>
      <c r="Z54" s="101"/>
    </row>
    <row r="55" spans="1:26" ht="13.5" customHeight="1">
      <c r="A55" s="119"/>
      <c r="B55" s="119"/>
      <c r="C55" s="119"/>
      <c r="D55" s="119"/>
      <c r="E55" s="119"/>
      <c r="F55" s="119"/>
      <c r="G55" s="119"/>
      <c r="H55" s="119"/>
      <c r="I55" s="119"/>
      <c r="J55" s="119"/>
      <c r="K55" s="119"/>
      <c r="L55" s="119"/>
      <c r="M55" s="101"/>
      <c r="N55" s="101"/>
      <c r="O55" s="101"/>
      <c r="P55" s="101"/>
      <c r="Q55" s="101"/>
      <c r="R55" s="101"/>
      <c r="S55" s="101"/>
      <c r="T55" s="101"/>
      <c r="U55" s="101"/>
      <c r="V55" s="101"/>
      <c r="W55" s="101"/>
      <c r="X55" s="101"/>
      <c r="Y55" s="101"/>
      <c r="Z55" s="101"/>
    </row>
    <row r="56" spans="1:26" ht="13.5" customHeight="1">
      <c r="A56" s="119"/>
      <c r="B56" s="119"/>
      <c r="C56" s="119"/>
      <c r="D56" s="119"/>
      <c r="E56" s="119"/>
      <c r="F56" s="119"/>
      <c r="G56" s="119"/>
      <c r="H56" s="119"/>
      <c r="I56" s="119"/>
      <c r="J56" s="119"/>
      <c r="K56" s="119"/>
      <c r="L56" s="119"/>
      <c r="M56" s="101"/>
      <c r="N56" s="101"/>
      <c r="O56" s="101"/>
      <c r="P56" s="101"/>
      <c r="Q56" s="101"/>
      <c r="R56" s="101"/>
      <c r="S56" s="101"/>
      <c r="T56" s="101"/>
      <c r="U56" s="101"/>
      <c r="V56" s="101"/>
      <c r="W56" s="101"/>
      <c r="X56" s="101"/>
      <c r="Y56" s="101"/>
      <c r="Z56" s="101"/>
    </row>
    <row r="57" spans="1:26" ht="13.5" customHeight="1">
      <c r="A57" s="119"/>
      <c r="B57" s="119"/>
      <c r="C57" s="119"/>
      <c r="D57" s="119"/>
      <c r="E57" s="119"/>
      <c r="F57" s="119"/>
      <c r="G57" s="119"/>
      <c r="H57" s="119"/>
      <c r="I57" s="119"/>
      <c r="J57" s="119"/>
      <c r="K57" s="119"/>
      <c r="L57" s="119"/>
      <c r="M57" s="101"/>
      <c r="N57" s="101"/>
      <c r="O57" s="101"/>
      <c r="P57" s="101"/>
      <c r="Q57" s="101"/>
      <c r="R57" s="101"/>
      <c r="S57" s="101"/>
      <c r="T57" s="101"/>
      <c r="U57" s="101"/>
      <c r="V57" s="101"/>
      <c r="W57" s="101"/>
      <c r="X57" s="101"/>
      <c r="Y57" s="101"/>
      <c r="Z57" s="101"/>
    </row>
    <row r="58" spans="1:26" ht="13.5" customHeight="1">
      <c r="A58" s="119"/>
      <c r="B58" s="119"/>
      <c r="C58" s="119"/>
      <c r="D58" s="119"/>
      <c r="E58" s="119"/>
      <c r="F58" s="119"/>
      <c r="G58" s="119"/>
      <c r="H58" s="119"/>
      <c r="I58" s="119"/>
      <c r="J58" s="119"/>
      <c r="K58" s="119"/>
      <c r="L58" s="119"/>
      <c r="M58" s="101"/>
      <c r="N58" s="101"/>
      <c r="O58" s="101"/>
      <c r="P58" s="101"/>
      <c r="Q58" s="101"/>
      <c r="R58" s="101"/>
      <c r="S58" s="101"/>
      <c r="T58" s="101"/>
      <c r="U58" s="101"/>
      <c r="V58" s="101"/>
      <c r="W58" s="101"/>
      <c r="X58" s="101"/>
      <c r="Y58" s="101"/>
      <c r="Z58" s="101"/>
    </row>
    <row r="59" spans="1:26" ht="13.5" customHeight="1">
      <c r="A59" s="119"/>
      <c r="B59" s="119"/>
      <c r="C59" s="119"/>
      <c r="D59" s="119"/>
      <c r="E59" s="119"/>
      <c r="F59" s="119"/>
      <c r="G59" s="119"/>
      <c r="H59" s="119"/>
      <c r="I59" s="119"/>
      <c r="J59" s="119"/>
      <c r="K59" s="119"/>
      <c r="L59" s="119"/>
      <c r="M59" s="101"/>
      <c r="N59" s="101"/>
      <c r="O59" s="101"/>
      <c r="P59" s="101"/>
      <c r="Q59" s="101"/>
      <c r="R59" s="101"/>
      <c r="S59" s="101"/>
      <c r="T59" s="101"/>
      <c r="U59" s="101"/>
      <c r="V59" s="101"/>
      <c r="W59" s="101"/>
      <c r="X59" s="101"/>
      <c r="Y59" s="101"/>
      <c r="Z59" s="101"/>
    </row>
    <row r="60" spans="1:26" ht="13.5" customHeight="1">
      <c r="A60" s="119"/>
      <c r="B60" s="119"/>
      <c r="C60" s="119"/>
      <c r="D60" s="119"/>
      <c r="E60" s="119"/>
      <c r="F60" s="119"/>
      <c r="G60" s="119"/>
      <c r="H60" s="119"/>
      <c r="I60" s="119"/>
      <c r="J60" s="119"/>
      <c r="K60" s="119"/>
      <c r="L60" s="119"/>
      <c r="M60" s="101"/>
      <c r="N60" s="101"/>
      <c r="O60" s="101"/>
      <c r="P60" s="101"/>
      <c r="Q60" s="101"/>
      <c r="R60" s="101"/>
      <c r="S60" s="101"/>
      <c r="T60" s="101"/>
      <c r="U60" s="101"/>
      <c r="V60" s="101"/>
      <c r="W60" s="101"/>
      <c r="X60" s="101"/>
      <c r="Y60" s="101"/>
      <c r="Z60" s="101"/>
    </row>
    <row r="61" spans="1:26" ht="13.5" customHeight="1">
      <c r="A61" s="119"/>
      <c r="B61" s="119"/>
      <c r="C61" s="119"/>
      <c r="D61" s="119"/>
      <c r="E61" s="119"/>
      <c r="F61" s="119"/>
      <c r="G61" s="119"/>
      <c r="H61" s="119"/>
      <c r="I61" s="119"/>
      <c r="J61" s="119"/>
      <c r="K61" s="119"/>
      <c r="L61" s="119"/>
      <c r="M61" s="101"/>
      <c r="N61" s="101"/>
      <c r="O61" s="101"/>
      <c r="P61" s="101"/>
      <c r="Q61" s="101"/>
      <c r="R61" s="101"/>
      <c r="S61" s="101"/>
      <c r="T61" s="101"/>
      <c r="U61" s="101"/>
      <c r="V61" s="101"/>
      <c r="W61" s="101"/>
      <c r="X61" s="101"/>
      <c r="Y61" s="101"/>
      <c r="Z61" s="101"/>
    </row>
    <row r="62" spans="1:26" ht="13.5" customHeight="1">
      <c r="A62" s="119"/>
      <c r="B62" s="119"/>
      <c r="C62" s="119"/>
      <c r="D62" s="119"/>
      <c r="E62" s="119"/>
      <c r="F62" s="119"/>
      <c r="G62" s="119"/>
      <c r="H62" s="119"/>
      <c r="I62" s="119"/>
      <c r="J62" s="119"/>
      <c r="K62" s="119"/>
      <c r="L62" s="119"/>
      <c r="M62" s="101"/>
      <c r="N62" s="101"/>
      <c r="O62" s="101"/>
      <c r="P62" s="101"/>
      <c r="Q62" s="101"/>
      <c r="R62" s="101"/>
      <c r="S62" s="101"/>
      <c r="T62" s="101"/>
      <c r="U62" s="101"/>
      <c r="V62" s="101"/>
      <c r="W62" s="101"/>
      <c r="X62" s="101"/>
      <c r="Y62" s="101"/>
      <c r="Z62" s="101"/>
    </row>
    <row r="63" spans="1:26" ht="13.5" customHeight="1">
      <c r="A63" s="119"/>
      <c r="B63" s="119"/>
      <c r="C63" s="119"/>
      <c r="D63" s="119"/>
      <c r="E63" s="119"/>
      <c r="F63" s="119"/>
      <c r="G63" s="119"/>
      <c r="H63" s="119"/>
      <c r="I63" s="119"/>
      <c r="J63" s="119"/>
      <c r="K63" s="119"/>
      <c r="L63" s="119"/>
      <c r="M63" s="101"/>
      <c r="N63" s="101"/>
      <c r="O63" s="101"/>
      <c r="P63" s="101"/>
      <c r="Q63" s="101"/>
      <c r="R63" s="101"/>
      <c r="S63" s="101"/>
      <c r="T63" s="101"/>
      <c r="U63" s="101"/>
      <c r="V63" s="101"/>
      <c r="W63" s="101"/>
      <c r="X63" s="101"/>
      <c r="Y63" s="101"/>
      <c r="Z63" s="101"/>
    </row>
    <row r="64" spans="1:26" ht="13.5" customHeight="1">
      <c r="A64" s="119"/>
      <c r="B64" s="119"/>
      <c r="C64" s="119"/>
      <c r="D64" s="119"/>
      <c r="E64" s="119"/>
      <c r="F64" s="119"/>
      <c r="G64" s="119"/>
      <c r="H64" s="119"/>
      <c r="I64" s="119"/>
      <c r="J64" s="119"/>
      <c r="K64" s="119"/>
      <c r="L64" s="119"/>
      <c r="M64" s="101"/>
      <c r="N64" s="101"/>
      <c r="O64" s="101"/>
      <c r="P64" s="101"/>
      <c r="Q64" s="101"/>
      <c r="R64" s="101"/>
      <c r="S64" s="101"/>
      <c r="T64" s="101"/>
      <c r="U64" s="101"/>
      <c r="V64" s="101"/>
      <c r="W64" s="101"/>
      <c r="X64" s="101"/>
      <c r="Y64" s="101"/>
      <c r="Z64" s="101"/>
    </row>
    <row r="65" spans="1:26" ht="13.5" customHeight="1">
      <c r="A65" s="119"/>
      <c r="B65" s="119"/>
      <c r="C65" s="119"/>
      <c r="D65" s="119"/>
      <c r="E65" s="119"/>
      <c r="F65" s="119"/>
      <c r="G65" s="119"/>
      <c r="H65" s="119"/>
      <c r="I65" s="119"/>
      <c r="J65" s="119"/>
      <c r="K65" s="119"/>
      <c r="L65" s="119"/>
      <c r="M65" s="101"/>
      <c r="N65" s="101"/>
      <c r="O65" s="101"/>
      <c r="P65" s="101"/>
      <c r="Q65" s="101"/>
      <c r="R65" s="101"/>
      <c r="S65" s="101"/>
      <c r="T65" s="101"/>
      <c r="U65" s="101"/>
      <c r="V65" s="101"/>
      <c r="W65" s="101"/>
      <c r="X65" s="101"/>
      <c r="Y65" s="101"/>
      <c r="Z65" s="101"/>
    </row>
    <row r="66" spans="1:26" ht="13.5" customHeight="1">
      <c r="A66" s="119"/>
      <c r="B66" s="119"/>
      <c r="C66" s="119"/>
      <c r="D66" s="119"/>
      <c r="E66" s="119"/>
      <c r="F66" s="119"/>
      <c r="G66" s="119"/>
      <c r="H66" s="119"/>
      <c r="I66" s="119"/>
      <c r="J66" s="119"/>
      <c r="K66" s="119"/>
      <c r="L66" s="119"/>
      <c r="M66" s="101"/>
      <c r="N66" s="101"/>
      <c r="O66" s="101"/>
      <c r="P66" s="101"/>
      <c r="Q66" s="101"/>
      <c r="R66" s="101"/>
      <c r="S66" s="101"/>
      <c r="T66" s="101"/>
      <c r="U66" s="101"/>
      <c r="V66" s="101"/>
      <c r="W66" s="101"/>
      <c r="X66" s="101"/>
      <c r="Y66" s="101"/>
      <c r="Z66" s="101"/>
    </row>
    <row r="67" spans="1:26" ht="13.5" customHeight="1">
      <c r="A67" s="119"/>
      <c r="B67" s="119"/>
      <c r="C67" s="119"/>
      <c r="D67" s="119"/>
      <c r="E67" s="119"/>
      <c r="F67" s="119"/>
      <c r="G67" s="119"/>
      <c r="H67" s="119"/>
      <c r="I67" s="119"/>
      <c r="J67" s="119"/>
      <c r="K67" s="119"/>
      <c r="L67" s="119"/>
      <c r="M67" s="101"/>
      <c r="N67" s="101"/>
      <c r="O67" s="101"/>
      <c r="P67" s="101"/>
      <c r="Q67" s="101"/>
      <c r="R67" s="101"/>
      <c r="S67" s="101"/>
      <c r="T67" s="101"/>
      <c r="U67" s="101"/>
      <c r="V67" s="101"/>
      <c r="W67" s="101"/>
      <c r="X67" s="101"/>
      <c r="Y67" s="101"/>
      <c r="Z67" s="101"/>
    </row>
    <row r="68" spans="1:26" ht="13.5" customHeight="1">
      <c r="A68" s="119"/>
      <c r="B68" s="119"/>
      <c r="C68" s="119"/>
      <c r="D68" s="119"/>
      <c r="E68" s="119"/>
      <c r="F68" s="119"/>
      <c r="G68" s="119"/>
      <c r="H68" s="119"/>
      <c r="I68" s="119"/>
      <c r="J68" s="119"/>
      <c r="K68" s="119"/>
      <c r="L68" s="119"/>
      <c r="M68" s="101"/>
      <c r="N68" s="101"/>
      <c r="O68" s="101"/>
      <c r="P68" s="101"/>
      <c r="Q68" s="101"/>
      <c r="R68" s="101"/>
      <c r="S68" s="101"/>
      <c r="T68" s="101"/>
      <c r="U68" s="101"/>
      <c r="V68" s="101"/>
      <c r="W68" s="101"/>
      <c r="X68" s="101"/>
      <c r="Y68" s="101"/>
      <c r="Z68" s="101"/>
    </row>
    <row r="69" spans="1:26" ht="13.5" customHeight="1">
      <c r="A69" s="119"/>
      <c r="B69" s="119"/>
      <c r="C69" s="119"/>
      <c r="D69" s="119"/>
      <c r="E69" s="119"/>
      <c r="F69" s="119"/>
      <c r="G69" s="119"/>
      <c r="H69" s="119"/>
      <c r="I69" s="119"/>
      <c r="J69" s="119"/>
      <c r="K69" s="119"/>
      <c r="L69" s="119"/>
      <c r="M69" s="101"/>
      <c r="N69" s="101"/>
      <c r="O69" s="101"/>
      <c r="P69" s="101"/>
      <c r="Q69" s="101"/>
      <c r="R69" s="101"/>
      <c r="S69" s="101"/>
      <c r="T69" s="101"/>
      <c r="U69" s="101"/>
      <c r="V69" s="101"/>
      <c r="W69" s="101"/>
      <c r="X69" s="101"/>
      <c r="Y69" s="101"/>
      <c r="Z69" s="101"/>
    </row>
    <row r="70" spans="1:26" ht="13.5" customHeight="1">
      <c r="A70" s="119"/>
      <c r="B70" s="119"/>
      <c r="C70" s="119"/>
      <c r="D70" s="119"/>
      <c r="E70" s="119"/>
      <c r="F70" s="119"/>
      <c r="G70" s="119"/>
      <c r="H70" s="119"/>
      <c r="I70" s="119"/>
      <c r="J70" s="119"/>
      <c r="K70" s="119"/>
      <c r="L70" s="119"/>
      <c r="M70" s="101"/>
      <c r="N70" s="101"/>
      <c r="O70" s="101"/>
      <c r="P70" s="101"/>
      <c r="Q70" s="101"/>
      <c r="R70" s="101"/>
      <c r="S70" s="101"/>
      <c r="T70" s="101"/>
      <c r="U70" s="101"/>
      <c r="V70" s="101"/>
      <c r="W70" s="101"/>
      <c r="X70" s="101"/>
      <c r="Y70" s="101"/>
      <c r="Z70" s="101"/>
    </row>
    <row r="71" spans="1:26" ht="13.5" customHeight="1">
      <c r="A71" s="119"/>
      <c r="B71" s="119"/>
      <c r="C71" s="119"/>
      <c r="D71" s="119"/>
      <c r="E71" s="119"/>
      <c r="F71" s="119"/>
      <c r="G71" s="119"/>
      <c r="H71" s="119"/>
      <c r="I71" s="119"/>
      <c r="J71" s="119"/>
      <c r="K71" s="119"/>
      <c r="L71" s="119"/>
      <c r="M71" s="101"/>
      <c r="N71" s="101"/>
      <c r="O71" s="101"/>
      <c r="P71" s="101"/>
      <c r="Q71" s="101"/>
      <c r="R71" s="101"/>
      <c r="S71" s="101"/>
      <c r="T71" s="101"/>
      <c r="U71" s="101"/>
      <c r="V71" s="101"/>
      <c r="W71" s="101"/>
      <c r="X71" s="101"/>
      <c r="Y71" s="101"/>
      <c r="Z71" s="101"/>
    </row>
    <row r="72" spans="1:26" ht="13.5" customHeight="1">
      <c r="A72" s="119"/>
      <c r="B72" s="119"/>
      <c r="C72" s="119"/>
      <c r="D72" s="119"/>
      <c r="E72" s="119"/>
      <c r="F72" s="119"/>
      <c r="G72" s="119"/>
      <c r="H72" s="119"/>
      <c r="I72" s="119"/>
      <c r="J72" s="119"/>
      <c r="K72" s="119"/>
      <c r="L72" s="119"/>
      <c r="M72" s="101"/>
      <c r="N72" s="101"/>
      <c r="O72" s="101"/>
      <c r="P72" s="101"/>
      <c r="Q72" s="101"/>
      <c r="R72" s="101"/>
      <c r="S72" s="101"/>
      <c r="T72" s="101"/>
      <c r="U72" s="101"/>
      <c r="V72" s="101"/>
      <c r="W72" s="101"/>
      <c r="X72" s="101"/>
      <c r="Y72" s="101"/>
      <c r="Z72" s="101"/>
    </row>
    <row r="73" spans="1:26" ht="13.5" customHeight="1">
      <c r="A73" s="119"/>
      <c r="B73" s="119"/>
      <c r="C73" s="119"/>
      <c r="D73" s="119"/>
      <c r="E73" s="119"/>
      <c r="F73" s="119"/>
      <c r="G73" s="119"/>
      <c r="H73" s="119"/>
      <c r="I73" s="119"/>
      <c r="J73" s="119"/>
      <c r="K73" s="119"/>
      <c r="L73" s="119"/>
      <c r="M73" s="101"/>
      <c r="N73" s="101"/>
      <c r="O73" s="101"/>
      <c r="P73" s="101"/>
      <c r="Q73" s="101"/>
      <c r="R73" s="101"/>
      <c r="S73" s="101"/>
      <c r="T73" s="101"/>
      <c r="U73" s="101"/>
      <c r="V73" s="101"/>
      <c r="W73" s="101"/>
      <c r="X73" s="101"/>
      <c r="Y73" s="101"/>
      <c r="Z73" s="101"/>
    </row>
    <row r="74" spans="1:26" ht="13.5" customHeight="1">
      <c r="A74" s="101"/>
      <c r="B74" s="119"/>
      <c r="C74" s="119"/>
      <c r="D74" s="119"/>
      <c r="E74" s="119"/>
      <c r="F74" s="119"/>
      <c r="G74" s="119"/>
      <c r="H74" s="119"/>
      <c r="I74" s="119"/>
      <c r="J74" s="119"/>
      <c r="K74" s="119"/>
      <c r="L74" s="119"/>
      <c r="M74" s="101"/>
      <c r="N74" s="101"/>
      <c r="O74" s="101"/>
      <c r="P74" s="101"/>
      <c r="Q74" s="101"/>
      <c r="R74" s="101"/>
      <c r="S74" s="101"/>
      <c r="T74" s="101"/>
      <c r="U74" s="101"/>
      <c r="V74" s="101"/>
      <c r="W74" s="101"/>
      <c r="X74" s="101"/>
      <c r="Y74" s="101"/>
      <c r="Z74" s="101"/>
    </row>
    <row r="75" spans="1:26" ht="13.5" customHeight="1">
      <c r="A75" s="101"/>
      <c r="B75" s="119"/>
      <c r="C75" s="119"/>
      <c r="D75" s="119"/>
      <c r="E75" s="119"/>
      <c r="F75" s="119"/>
      <c r="G75" s="119"/>
      <c r="H75" s="119"/>
      <c r="I75" s="119"/>
      <c r="J75" s="119"/>
      <c r="K75" s="119"/>
      <c r="L75" s="119"/>
      <c r="M75" s="101"/>
      <c r="N75" s="101"/>
      <c r="O75" s="101"/>
      <c r="P75" s="101"/>
      <c r="Q75" s="101"/>
      <c r="R75" s="101"/>
      <c r="S75" s="101"/>
      <c r="T75" s="101"/>
      <c r="U75" s="101"/>
      <c r="V75" s="101"/>
      <c r="W75" s="101"/>
      <c r="X75" s="101"/>
      <c r="Y75" s="101"/>
      <c r="Z75" s="101"/>
    </row>
  </sheetData>
  <mergeCells count="25">
    <mergeCell ref="F2:J2"/>
    <mergeCell ref="F3:G3"/>
    <mergeCell ref="A2:C2"/>
    <mergeCell ref="A3:B3"/>
    <mergeCell ref="A4:B4"/>
    <mergeCell ref="A5:B5"/>
    <mergeCell ref="F4:G4"/>
    <mergeCell ref="A8:G8"/>
    <mergeCell ref="H9:K9"/>
    <mergeCell ref="I10:K10"/>
    <mergeCell ref="A6:B6"/>
    <mergeCell ref="I11:K11"/>
    <mergeCell ref="A9:B9"/>
    <mergeCell ref="A10:B10"/>
    <mergeCell ref="A11:B11"/>
    <mergeCell ref="A1:K1"/>
    <mergeCell ref="A18:B18"/>
    <mergeCell ref="A19:F19"/>
    <mergeCell ref="A15:K15"/>
    <mergeCell ref="H16:K16"/>
    <mergeCell ref="I17:K17"/>
    <mergeCell ref="I18:K18"/>
    <mergeCell ref="A13:F13"/>
    <mergeCell ref="A16:B16"/>
    <mergeCell ref="A17:B17"/>
  </mergeCells>
  <printOptions/>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11.xml><?xml version="1.0" encoding="utf-8"?>
<worksheet xmlns="http://schemas.openxmlformats.org/spreadsheetml/2006/main" xmlns:r="http://schemas.openxmlformats.org/officeDocument/2006/relationships">
  <sheetPr codeName="Sheet12"/>
  <dimension ref="A1:AZ75"/>
  <sheetViews>
    <sheetView workbookViewId="0" topLeftCell="A1">
      <selection activeCell="A1" sqref="A1:K1"/>
    </sheetView>
  </sheetViews>
  <sheetFormatPr defaultColWidth="9.140625" defaultRowHeight="12.75"/>
  <cols>
    <col min="27" max="27" width="10.28125" style="0" bestFit="1" customWidth="1"/>
  </cols>
  <sheetData>
    <row r="1" spans="1:52" ht="13.5" customHeight="1" thickBot="1">
      <c r="A1" s="298" t="s">
        <v>133</v>
      </c>
      <c r="B1" s="298"/>
      <c r="C1" s="298"/>
      <c r="D1" s="298"/>
      <c r="E1" s="298"/>
      <c r="F1" s="298"/>
      <c r="G1" s="298"/>
      <c r="H1" s="298"/>
      <c r="I1" s="298"/>
      <c r="J1" s="298"/>
      <c r="K1" s="298"/>
      <c r="L1" s="123"/>
      <c r="M1" s="123"/>
      <c r="N1" s="123"/>
      <c r="O1" s="123"/>
      <c r="P1" s="123"/>
      <c r="Q1" s="123"/>
      <c r="R1" s="123"/>
      <c r="S1" s="123"/>
      <c r="T1" s="123"/>
      <c r="U1" s="123"/>
      <c r="V1" s="290" t="s">
        <v>134</v>
      </c>
      <c r="W1" s="290"/>
      <c r="X1" s="290"/>
      <c r="Y1" s="290"/>
      <c r="Z1" s="290"/>
      <c r="AA1" s="290"/>
      <c r="AB1" s="290"/>
      <c r="AC1" s="290"/>
      <c r="AD1" s="290"/>
      <c r="AE1" s="290"/>
      <c r="AF1" s="290"/>
      <c r="AG1" s="290"/>
      <c r="AH1" s="124"/>
      <c r="AI1" s="124"/>
      <c r="AJ1" s="124"/>
      <c r="AK1" s="124"/>
      <c r="AL1" s="124"/>
      <c r="AM1" s="123"/>
      <c r="AN1" s="123"/>
      <c r="AO1" s="125" t="s">
        <v>124</v>
      </c>
      <c r="AP1" s="125">
        <f>$C$4/$C$3^2</f>
        <v>0.1</v>
      </c>
      <c r="AQ1" s="123"/>
      <c r="AR1" s="123"/>
      <c r="AS1" s="123"/>
      <c r="AT1" s="123"/>
      <c r="AU1" s="123"/>
      <c r="AV1" s="123"/>
      <c r="AW1" s="123"/>
      <c r="AX1" s="123"/>
      <c r="AY1" s="123"/>
      <c r="AZ1" s="123"/>
    </row>
    <row r="2" spans="1:52" ht="13.5" customHeight="1" thickBot="1" thickTop="1">
      <c r="A2" s="306" t="s">
        <v>212</v>
      </c>
      <c r="B2" s="306"/>
      <c r="C2" s="306"/>
      <c r="D2" s="123"/>
      <c r="E2" s="123"/>
      <c r="F2" s="123"/>
      <c r="G2" s="123"/>
      <c r="H2" s="123"/>
      <c r="I2" s="123"/>
      <c r="J2" s="123"/>
      <c r="K2" s="123"/>
      <c r="L2" s="123"/>
      <c r="M2" s="126"/>
      <c r="N2" s="126"/>
      <c r="O2" s="126"/>
      <c r="P2" s="126"/>
      <c r="Q2" s="126"/>
      <c r="R2" s="126"/>
      <c r="S2" s="126"/>
      <c r="T2" s="126"/>
      <c r="U2" s="126"/>
      <c r="V2" s="291" t="s">
        <v>135</v>
      </c>
      <c r="W2" s="291"/>
      <c r="X2" s="291"/>
      <c r="Y2" s="291"/>
      <c r="Z2" s="291"/>
      <c r="AA2" s="291"/>
      <c r="AB2" s="291"/>
      <c r="AC2" s="291"/>
      <c r="AD2" s="291"/>
      <c r="AE2" s="291"/>
      <c r="AF2" s="291"/>
      <c r="AG2" s="291"/>
      <c r="AH2" s="124"/>
      <c r="AI2" s="124"/>
      <c r="AJ2" s="124"/>
      <c r="AK2" s="124"/>
      <c r="AL2" s="124"/>
      <c r="AM2" s="123"/>
      <c r="AN2" s="123"/>
      <c r="AO2" s="125" t="s">
        <v>125</v>
      </c>
      <c r="AP2" s="125">
        <f>$C$6/$C$5^2</f>
        <v>0.04</v>
      </c>
      <c r="AQ2" s="123"/>
      <c r="AR2" s="123"/>
      <c r="AS2" s="123"/>
      <c r="AT2" s="123"/>
      <c r="AU2" s="123"/>
      <c r="AV2" s="123"/>
      <c r="AW2" s="123"/>
      <c r="AX2" s="123"/>
      <c r="AY2" s="123"/>
      <c r="AZ2" s="123"/>
    </row>
    <row r="3" spans="1:52" ht="13.5" customHeight="1" thickTop="1">
      <c r="A3" s="304" t="s">
        <v>106</v>
      </c>
      <c r="B3" s="304"/>
      <c r="C3" s="127">
        <f>'Nonlinear PPCs'!C3</f>
        <v>30</v>
      </c>
      <c r="D3" s="128"/>
      <c r="E3" s="128"/>
      <c r="F3" s="128"/>
      <c r="G3" s="128"/>
      <c r="H3" s="128"/>
      <c r="I3" s="128"/>
      <c r="J3" s="128"/>
      <c r="K3" s="128"/>
      <c r="L3" s="123"/>
      <c r="M3" s="126"/>
      <c r="N3" s="126"/>
      <c r="O3" s="123"/>
      <c r="P3" s="123"/>
      <c r="Q3" s="123"/>
      <c r="R3" s="123"/>
      <c r="S3" s="123"/>
      <c r="T3" s="123"/>
      <c r="U3" s="123"/>
      <c r="V3" s="123"/>
      <c r="W3" s="123"/>
      <c r="X3" s="123"/>
      <c r="Y3" s="123"/>
      <c r="Z3" s="123"/>
      <c r="AA3" s="161" t="s">
        <v>138</v>
      </c>
      <c r="AB3" s="161" t="s">
        <v>139</v>
      </c>
      <c r="AC3" s="161" t="s">
        <v>140</v>
      </c>
      <c r="AD3" s="161" t="s">
        <v>141</v>
      </c>
      <c r="AE3" s="161" t="s">
        <v>142</v>
      </c>
      <c r="AF3" s="161" t="s">
        <v>143</v>
      </c>
      <c r="AG3" s="161" t="s">
        <v>144</v>
      </c>
      <c r="AH3" s="123"/>
      <c r="AI3" s="123"/>
      <c r="AJ3" s="123"/>
      <c r="AK3" s="123"/>
      <c r="AL3" s="123"/>
      <c r="AM3" s="123"/>
      <c r="AN3" s="123"/>
      <c r="AO3" s="123"/>
      <c r="AP3" s="123"/>
      <c r="AQ3" s="123"/>
      <c r="AR3" s="123"/>
      <c r="AS3" s="123"/>
      <c r="AT3" s="123"/>
      <c r="AU3" s="123"/>
      <c r="AV3" s="123"/>
      <c r="AW3" s="123"/>
      <c r="AX3" s="123"/>
      <c r="AY3" s="123"/>
      <c r="AZ3" s="123"/>
    </row>
    <row r="4" spans="1:52" ht="13.5" customHeight="1">
      <c r="A4" s="305" t="s">
        <v>107</v>
      </c>
      <c r="B4" s="305"/>
      <c r="C4" s="129">
        <f>'Nonlinear PPCs'!C4</f>
        <v>90</v>
      </c>
      <c r="D4" s="128"/>
      <c r="E4" s="128"/>
      <c r="F4" s="128"/>
      <c r="G4" s="128"/>
      <c r="H4" s="128"/>
      <c r="I4" s="128"/>
      <c r="J4" s="128"/>
      <c r="K4" s="128"/>
      <c r="L4" s="123"/>
      <c r="M4" s="123"/>
      <c r="N4" s="123"/>
      <c r="O4" s="123"/>
      <c r="P4" s="123"/>
      <c r="Q4" s="123"/>
      <c r="R4" s="123"/>
      <c r="S4" s="123"/>
      <c r="T4" s="123"/>
      <c r="U4" s="123"/>
      <c r="V4" s="123"/>
      <c r="W4" s="123"/>
      <c r="X4" s="123"/>
      <c r="Y4" s="123"/>
      <c r="Z4" s="123"/>
      <c r="AA4" s="130">
        <v>0</v>
      </c>
      <c r="AB4" s="130">
        <f aca="true" t="shared" si="0" ref="AB4:AB24">AA4*$C$3</f>
        <v>0</v>
      </c>
      <c r="AC4" s="131">
        <f aca="true" t="shared" si="1" ref="AC4:AC24">$C$4-$AP$1*AB4^2</f>
        <v>90</v>
      </c>
      <c r="AD4" s="130">
        <f aca="true" t="shared" si="2" ref="AD4:AD24">MAX(0,$C$14*$H$15+$F$14-AB4*$H$15)</f>
        <v>171.6326530612245</v>
      </c>
      <c r="AE4" s="130">
        <f aca="true" t="shared" si="3" ref="AE4:AE24">AA4*$C$5</f>
        <v>0</v>
      </c>
      <c r="AF4" s="131">
        <f aca="true" t="shared" si="4" ref="AF4:AF24">$C$6-$AP$2*AE4^2</f>
        <v>400</v>
      </c>
      <c r="AG4" s="130">
        <f aca="true" t="shared" si="5" ref="AG4:AG24">MAX(0,$C$15*$H$15+$F$15-AE4*$H$15)</f>
        <v>604.0816326530612</v>
      </c>
      <c r="AH4" s="123"/>
      <c r="AI4" s="123"/>
      <c r="AJ4" s="123"/>
      <c r="AK4" s="123"/>
      <c r="AL4" s="123"/>
      <c r="AM4" s="123"/>
      <c r="AN4" s="123"/>
      <c r="AO4" s="123"/>
      <c r="AP4" s="123"/>
      <c r="AQ4" s="123"/>
      <c r="AR4" s="123"/>
      <c r="AS4" s="123"/>
      <c r="AT4" s="123"/>
      <c r="AU4" s="123"/>
      <c r="AV4" s="123"/>
      <c r="AW4" s="123"/>
      <c r="AX4" s="123"/>
      <c r="AY4" s="123"/>
      <c r="AZ4" s="123"/>
    </row>
    <row r="5" spans="1:52" ht="13.5" customHeight="1">
      <c r="A5" s="305" t="s">
        <v>108</v>
      </c>
      <c r="B5" s="305"/>
      <c r="C5" s="129">
        <f>'Nonlinear PPCs'!C5</f>
        <v>100</v>
      </c>
      <c r="D5" s="128"/>
      <c r="E5" s="128"/>
      <c r="F5" s="128"/>
      <c r="G5" s="128"/>
      <c r="H5" s="128"/>
      <c r="I5" s="128"/>
      <c r="J5" s="128"/>
      <c r="K5" s="128"/>
      <c r="L5" s="123"/>
      <c r="M5" s="123"/>
      <c r="N5" s="123"/>
      <c r="O5" s="123"/>
      <c r="P5" s="123"/>
      <c r="Q5" s="123"/>
      <c r="R5" s="123"/>
      <c r="S5" s="123"/>
      <c r="T5" s="123"/>
      <c r="U5" s="123"/>
      <c r="V5" s="123"/>
      <c r="W5" s="123"/>
      <c r="X5" s="123"/>
      <c r="Y5" s="123"/>
      <c r="Z5" s="123"/>
      <c r="AA5" s="130">
        <f aca="true" t="shared" si="6" ref="AA5:AA24">AA4+0.05</f>
        <v>0.05</v>
      </c>
      <c r="AB5" s="130">
        <f t="shared" si="0"/>
        <v>1.5</v>
      </c>
      <c r="AC5" s="131">
        <f t="shared" si="1"/>
        <v>89.775</v>
      </c>
      <c r="AD5" s="130">
        <f t="shared" si="2"/>
        <v>163.0612244897959</v>
      </c>
      <c r="AE5" s="130">
        <f t="shared" si="3"/>
        <v>5</v>
      </c>
      <c r="AF5" s="131">
        <f t="shared" si="4"/>
        <v>399</v>
      </c>
      <c r="AG5" s="130">
        <f t="shared" si="5"/>
        <v>575.5102040816327</v>
      </c>
      <c r="AH5" s="123"/>
      <c r="AI5" s="123"/>
      <c r="AJ5" s="123"/>
      <c r="AK5" s="123"/>
      <c r="AL5" s="123"/>
      <c r="AM5" s="123"/>
      <c r="AN5" s="123"/>
      <c r="AO5" s="123"/>
      <c r="AP5" s="123"/>
      <c r="AQ5" s="123"/>
      <c r="AR5" s="123"/>
      <c r="AS5" s="123"/>
      <c r="AT5" s="123"/>
      <c r="AU5" s="123"/>
      <c r="AV5" s="123"/>
      <c r="AW5" s="123"/>
      <c r="AX5" s="123"/>
      <c r="AY5" s="123"/>
      <c r="AZ5" s="123"/>
    </row>
    <row r="6" spans="1:52" ht="13.5" customHeight="1">
      <c r="A6" s="305" t="s">
        <v>109</v>
      </c>
      <c r="B6" s="305"/>
      <c r="C6" s="129">
        <f>'Nonlinear PPCs'!C6</f>
        <v>400</v>
      </c>
      <c r="D6" s="128"/>
      <c r="E6" s="128"/>
      <c r="F6" s="128"/>
      <c r="G6" s="128"/>
      <c r="H6" s="128"/>
      <c r="I6" s="128"/>
      <c r="J6" s="128"/>
      <c r="K6" s="128"/>
      <c r="L6" s="123"/>
      <c r="M6" s="126"/>
      <c r="N6" s="126"/>
      <c r="O6" s="123"/>
      <c r="P6" s="123"/>
      <c r="Q6" s="123"/>
      <c r="R6" s="123"/>
      <c r="S6" s="123"/>
      <c r="T6" s="123"/>
      <c r="U6" s="123"/>
      <c r="V6" s="123"/>
      <c r="W6" s="123"/>
      <c r="X6" s="123"/>
      <c r="Y6" s="123"/>
      <c r="Z6" s="123"/>
      <c r="AA6" s="130">
        <f t="shared" si="6"/>
        <v>0.1</v>
      </c>
      <c r="AB6" s="130">
        <f t="shared" si="0"/>
        <v>3</v>
      </c>
      <c r="AC6" s="131">
        <f t="shared" si="1"/>
        <v>89.1</v>
      </c>
      <c r="AD6" s="130">
        <f t="shared" si="2"/>
        <v>154.48979591836735</v>
      </c>
      <c r="AE6" s="130">
        <f t="shared" si="3"/>
        <v>10</v>
      </c>
      <c r="AF6" s="131">
        <f t="shared" si="4"/>
        <v>396</v>
      </c>
      <c r="AG6" s="130">
        <f t="shared" si="5"/>
        <v>546.9387755102041</v>
      </c>
      <c r="AH6" s="123"/>
      <c r="AI6" s="123"/>
      <c r="AJ6" s="123"/>
      <c r="AK6" s="123"/>
      <c r="AL6" s="123"/>
      <c r="AM6" s="123"/>
      <c r="AN6" s="123"/>
      <c r="AO6" s="123"/>
      <c r="AP6" s="123"/>
      <c r="AQ6" s="123"/>
      <c r="AR6" s="123"/>
      <c r="AS6" s="123"/>
      <c r="AT6" s="123"/>
      <c r="AU6" s="123"/>
      <c r="AV6" s="123"/>
      <c r="AW6" s="123"/>
      <c r="AX6" s="123"/>
      <c r="AY6" s="123"/>
      <c r="AZ6" s="123"/>
    </row>
    <row r="7" spans="1:52" ht="13.5" customHeight="1" thickBot="1">
      <c r="A7" s="307" t="s">
        <v>211</v>
      </c>
      <c r="B7" s="307"/>
      <c r="C7" s="307"/>
      <c r="D7" s="307"/>
      <c r="E7" s="307"/>
      <c r="F7" s="307"/>
      <c r="G7" s="307"/>
      <c r="H7" s="128"/>
      <c r="I7" s="128"/>
      <c r="J7" s="128"/>
      <c r="K7" s="128"/>
      <c r="L7" s="123"/>
      <c r="M7" s="126"/>
      <c r="N7" s="126"/>
      <c r="O7" s="123"/>
      <c r="P7" s="123"/>
      <c r="Q7" s="123"/>
      <c r="R7" s="123"/>
      <c r="S7" s="123"/>
      <c r="T7" s="123"/>
      <c r="U7" s="123"/>
      <c r="V7" s="123"/>
      <c r="W7" s="123"/>
      <c r="X7" s="123"/>
      <c r="Y7" s="123"/>
      <c r="Z7" s="123"/>
      <c r="AA7" s="130">
        <f t="shared" si="6"/>
        <v>0.15000000000000002</v>
      </c>
      <c r="AB7" s="130">
        <f t="shared" si="0"/>
        <v>4.500000000000001</v>
      </c>
      <c r="AC7" s="131">
        <f t="shared" si="1"/>
        <v>87.975</v>
      </c>
      <c r="AD7" s="130">
        <f t="shared" si="2"/>
        <v>145.91836734693877</v>
      </c>
      <c r="AE7" s="130">
        <f t="shared" si="3"/>
        <v>15.000000000000002</v>
      </c>
      <c r="AF7" s="131">
        <f t="shared" si="4"/>
        <v>391</v>
      </c>
      <c r="AG7" s="130">
        <f t="shared" si="5"/>
        <v>518.3673469387754</v>
      </c>
      <c r="AH7" s="123"/>
      <c r="AI7" s="123"/>
      <c r="AJ7" s="123"/>
      <c r="AK7" s="123"/>
      <c r="AL7" s="123"/>
      <c r="AM7" s="123"/>
      <c r="AN7" s="123"/>
      <c r="AO7" s="123"/>
      <c r="AP7" s="123"/>
      <c r="AQ7" s="123"/>
      <c r="AR7" s="123"/>
      <c r="AS7" s="123"/>
      <c r="AT7" s="123"/>
      <c r="AU7" s="123"/>
      <c r="AV7" s="123"/>
      <c r="AW7" s="123"/>
      <c r="AX7" s="123"/>
      <c r="AY7" s="123"/>
      <c r="AZ7" s="123"/>
    </row>
    <row r="8" spans="1:52" ht="13.5" customHeight="1" thickTop="1">
      <c r="A8" s="296" t="s">
        <v>110</v>
      </c>
      <c r="B8" s="296"/>
      <c r="C8" s="132">
        <f>'Nonlinear PPCs'!C9</f>
        <v>30</v>
      </c>
      <c r="D8" s="132" t="s">
        <v>111</v>
      </c>
      <c r="E8" s="132" t="s">
        <v>112</v>
      </c>
      <c r="F8" s="132">
        <f>$C$4-$AP$1*$C$8^2</f>
        <v>0</v>
      </c>
      <c r="G8" s="133" t="s">
        <v>113</v>
      </c>
      <c r="H8" s="301" t="s">
        <v>114</v>
      </c>
      <c r="I8" s="299"/>
      <c r="J8" s="299"/>
      <c r="K8" s="299"/>
      <c r="L8" s="123"/>
      <c r="M8" s="126"/>
      <c r="N8" s="126"/>
      <c r="O8" s="123"/>
      <c r="P8" s="123"/>
      <c r="Q8" s="123"/>
      <c r="R8" s="123"/>
      <c r="S8" s="123"/>
      <c r="T8" s="123"/>
      <c r="U8" s="123"/>
      <c r="V8" s="123"/>
      <c r="W8" s="123"/>
      <c r="X8" s="123"/>
      <c r="Y8" s="123"/>
      <c r="Z8" s="123"/>
      <c r="AA8" s="130">
        <f t="shared" si="6"/>
        <v>0.2</v>
      </c>
      <c r="AB8" s="130">
        <f t="shared" si="0"/>
        <v>6</v>
      </c>
      <c r="AC8" s="131">
        <f t="shared" si="1"/>
        <v>86.4</v>
      </c>
      <c r="AD8" s="130">
        <f t="shared" si="2"/>
        <v>137.3469387755102</v>
      </c>
      <c r="AE8" s="130">
        <f t="shared" si="3"/>
        <v>20</v>
      </c>
      <c r="AF8" s="131">
        <f t="shared" si="4"/>
        <v>384</v>
      </c>
      <c r="AG8" s="130">
        <f t="shared" si="5"/>
        <v>489.7959183673469</v>
      </c>
      <c r="AH8" s="123"/>
      <c r="AI8" s="123"/>
      <c r="AJ8" s="123"/>
      <c r="AK8" s="123"/>
      <c r="AL8" s="123"/>
      <c r="AM8" s="123"/>
      <c r="AN8" s="123"/>
      <c r="AO8" s="123"/>
      <c r="AP8" s="123"/>
      <c r="AQ8" s="123"/>
      <c r="AR8" s="123"/>
      <c r="AS8" s="123"/>
      <c r="AT8" s="123"/>
      <c r="AU8" s="123"/>
      <c r="AV8" s="123"/>
      <c r="AW8" s="123"/>
      <c r="AX8" s="123"/>
      <c r="AY8" s="123"/>
      <c r="AZ8" s="123"/>
    </row>
    <row r="9" spans="1:52" ht="13.5" customHeight="1">
      <c r="A9" s="299" t="s">
        <v>115</v>
      </c>
      <c r="B9" s="299"/>
      <c r="C9" s="134">
        <f>'Nonlinear PPCs'!C10</f>
        <v>70</v>
      </c>
      <c r="D9" s="134" t="s">
        <v>111</v>
      </c>
      <c r="E9" s="134" t="s">
        <v>112</v>
      </c>
      <c r="F9" s="134">
        <f>$C$6-$AP$2*$C$9^2</f>
        <v>204</v>
      </c>
      <c r="G9" s="135" t="s">
        <v>113</v>
      </c>
      <c r="H9" s="302" t="s">
        <v>145</v>
      </c>
      <c r="I9" s="303"/>
      <c r="J9" s="137">
        <f>2*$AP$1*$C$8</f>
        <v>6</v>
      </c>
      <c r="K9" s="139" t="s">
        <v>137</v>
      </c>
      <c r="L9" s="123"/>
      <c r="M9" s="126"/>
      <c r="N9" s="126"/>
      <c r="O9" s="123"/>
      <c r="P9" s="123"/>
      <c r="Q9" s="125"/>
      <c r="R9" s="125"/>
      <c r="S9" s="125"/>
      <c r="T9" s="123"/>
      <c r="U9" s="123"/>
      <c r="V9" s="123"/>
      <c r="W9" s="123"/>
      <c r="X9" s="123"/>
      <c r="Y9" s="123"/>
      <c r="Z9" s="140"/>
      <c r="AA9" s="130">
        <f t="shared" si="6"/>
        <v>0.25</v>
      </c>
      <c r="AB9" s="130">
        <f t="shared" si="0"/>
        <v>7.5</v>
      </c>
      <c r="AC9" s="131">
        <f t="shared" si="1"/>
        <v>84.375</v>
      </c>
      <c r="AD9" s="130">
        <f t="shared" si="2"/>
        <v>128.77551020408163</v>
      </c>
      <c r="AE9" s="130">
        <f t="shared" si="3"/>
        <v>25</v>
      </c>
      <c r="AF9" s="131">
        <f t="shared" si="4"/>
        <v>375</v>
      </c>
      <c r="AG9" s="130">
        <f t="shared" si="5"/>
        <v>461.2244897959183</v>
      </c>
      <c r="AH9" s="123"/>
      <c r="AI9" s="123"/>
      <c r="AJ9" s="123"/>
      <c r="AK9" s="123"/>
      <c r="AL9" s="123"/>
      <c r="AM9" s="123"/>
      <c r="AN9" s="123"/>
      <c r="AO9" s="123"/>
      <c r="AP9" s="123"/>
      <c r="AQ9" s="123"/>
      <c r="AR9" s="123"/>
      <c r="AS9" s="123"/>
      <c r="AT9" s="123"/>
      <c r="AU9" s="123"/>
      <c r="AV9" s="123"/>
      <c r="AW9" s="123"/>
      <c r="AX9" s="123"/>
      <c r="AY9" s="123"/>
      <c r="AZ9" s="123"/>
    </row>
    <row r="10" spans="1:52" s="4" customFormat="1" ht="13.5" customHeight="1">
      <c r="A10" s="299" t="s">
        <v>136</v>
      </c>
      <c r="B10" s="299"/>
      <c r="C10" s="134">
        <f>C8+C9</f>
        <v>100</v>
      </c>
      <c r="D10" s="134" t="s">
        <v>111</v>
      </c>
      <c r="E10" s="134" t="s">
        <v>112</v>
      </c>
      <c r="F10" s="134">
        <f>F8+F9</f>
        <v>204</v>
      </c>
      <c r="G10" s="135" t="s">
        <v>113</v>
      </c>
      <c r="H10" s="302" t="s">
        <v>146</v>
      </c>
      <c r="I10" s="303"/>
      <c r="J10" s="137">
        <f>2*$AP$2*$C$9</f>
        <v>5.6000000000000005</v>
      </c>
      <c r="K10" s="139" t="s">
        <v>137</v>
      </c>
      <c r="L10" s="123"/>
      <c r="M10" s="124"/>
      <c r="N10" s="126"/>
      <c r="O10" s="126"/>
      <c r="P10" s="126"/>
      <c r="Q10" s="125"/>
      <c r="R10" s="125"/>
      <c r="S10" s="125"/>
      <c r="T10" s="140"/>
      <c r="U10" s="140"/>
      <c r="V10" s="140"/>
      <c r="W10" s="140"/>
      <c r="X10" s="140"/>
      <c r="Y10" s="126"/>
      <c r="Z10" s="140"/>
      <c r="AA10" s="130">
        <f t="shared" si="6"/>
        <v>0.3</v>
      </c>
      <c r="AB10" s="130">
        <f t="shared" si="0"/>
        <v>9</v>
      </c>
      <c r="AC10" s="131">
        <f t="shared" si="1"/>
        <v>81.9</v>
      </c>
      <c r="AD10" s="130">
        <f t="shared" si="2"/>
        <v>120.20408163265306</v>
      </c>
      <c r="AE10" s="130">
        <f t="shared" si="3"/>
        <v>30</v>
      </c>
      <c r="AF10" s="131">
        <f t="shared" si="4"/>
        <v>364</v>
      </c>
      <c r="AG10" s="130">
        <f t="shared" si="5"/>
        <v>432.65306122448976</v>
      </c>
      <c r="AH10" s="140"/>
      <c r="AI10" s="140"/>
      <c r="AJ10" s="140"/>
      <c r="AK10" s="140"/>
      <c r="AL10" s="140"/>
      <c r="AM10" s="140"/>
      <c r="AN10" s="140"/>
      <c r="AO10" s="140"/>
      <c r="AP10" s="140"/>
      <c r="AQ10" s="140"/>
      <c r="AR10" s="140"/>
      <c r="AS10" s="140"/>
      <c r="AT10" s="140"/>
      <c r="AU10" s="140"/>
      <c r="AV10" s="140"/>
      <c r="AW10" s="140"/>
      <c r="AX10" s="140"/>
      <c r="AY10" s="140"/>
      <c r="AZ10" s="140"/>
    </row>
    <row r="11" spans="1:52" s="4" customFormat="1" ht="13.5" customHeight="1">
      <c r="A11" s="128"/>
      <c r="B11" s="128"/>
      <c r="C11" s="128"/>
      <c r="D11" s="128"/>
      <c r="E11" s="128"/>
      <c r="F11" s="128"/>
      <c r="G11" s="128"/>
      <c r="H11" s="128"/>
      <c r="I11" s="128"/>
      <c r="J11" s="128"/>
      <c r="K11" s="128"/>
      <c r="L11" s="123"/>
      <c r="M11" s="140"/>
      <c r="N11" s="126"/>
      <c r="O11" s="126"/>
      <c r="P11" s="126"/>
      <c r="Q11" s="125"/>
      <c r="R11" s="125"/>
      <c r="S11" s="125"/>
      <c r="T11" s="140"/>
      <c r="U11" s="140"/>
      <c r="V11" s="140"/>
      <c r="W11" s="140"/>
      <c r="X11" s="140"/>
      <c r="Y11" s="126"/>
      <c r="Z11" s="140"/>
      <c r="AA11" s="130">
        <f t="shared" si="6"/>
        <v>0.35</v>
      </c>
      <c r="AB11" s="130">
        <f t="shared" si="0"/>
        <v>10.5</v>
      </c>
      <c r="AC11" s="131">
        <f t="shared" si="1"/>
        <v>78.975</v>
      </c>
      <c r="AD11" s="130">
        <f t="shared" si="2"/>
        <v>111.63265306122449</v>
      </c>
      <c r="AE11" s="130">
        <f t="shared" si="3"/>
        <v>35</v>
      </c>
      <c r="AF11" s="131">
        <f t="shared" si="4"/>
        <v>351</v>
      </c>
      <c r="AG11" s="130">
        <f t="shared" si="5"/>
        <v>404.0816326530612</v>
      </c>
      <c r="AH11" s="140"/>
      <c r="AI11" s="140"/>
      <c r="AJ11" s="140"/>
      <c r="AK11" s="140"/>
      <c r="AL11" s="140"/>
      <c r="AM11" s="140"/>
      <c r="AN11" s="140"/>
      <c r="AO11" s="140"/>
      <c r="AP11" s="140"/>
      <c r="AQ11" s="140"/>
      <c r="AR11" s="140"/>
      <c r="AS11" s="140"/>
      <c r="AT11" s="140"/>
      <c r="AU11" s="140"/>
      <c r="AV11" s="140"/>
      <c r="AW11" s="140"/>
      <c r="AX11" s="140"/>
      <c r="AY11" s="140"/>
      <c r="AZ11" s="140"/>
    </row>
    <row r="12" spans="1:52" s="4" customFormat="1" ht="13.5" customHeight="1">
      <c r="A12" s="297" t="s">
        <v>209</v>
      </c>
      <c r="B12" s="297"/>
      <c r="C12" s="297"/>
      <c r="D12" s="297"/>
      <c r="E12" s="297"/>
      <c r="F12" s="297"/>
      <c r="G12" s="128"/>
      <c r="H12" s="128"/>
      <c r="I12" s="128"/>
      <c r="J12" s="128"/>
      <c r="K12" s="128"/>
      <c r="L12" s="123"/>
      <c r="M12" s="140"/>
      <c r="N12" s="126"/>
      <c r="O12" s="126"/>
      <c r="P12" s="126"/>
      <c r="Q12" s="125"/>
      <c r="R12" s="125"/>
      <c r="S12" s="125"/>
      <c r="T12" s="140"/>
      <c r="U12" s="140"/>
      <c r="V12" s="140"/>
      <c r="W12" s="140"/>
      <c r="X12" s="140"/>
      <c r="Y12" s="126"/>
      <c r="Z12" s="140"/>
      <c r="AA12" s="130">
        <f t="shared" si="6"/>
        <v>0.39999999999999997</v>
      </c>
      <c r="AB12" s="130">
        <f t="shared" si="0"/>
        <v>11.999999999999998</v>
      </c>
      <c r="AC12" s="131">
        <f t="shared" si="1"/>
        <v>75.60000000000001</v>
      </c>
      <c r="AD12" s="130">
        <f t="shared" si="2"/>
        <v>103.06122448979592</v>
      </c>
      <c r="AE12" s="130">
        <f t="shared" si="3"/>
        <v>40</v>
      </c>
      <c r="AF12" s="131">
        <f t="shared" si="4"/>
        <v>336</v>
      </c>
      <c r="AG12" s="130">
        <f t="shared" si="5"/>
        <v>375.51020408163265</v>
      </c>
      <c r="AH12" s="140"/>
      <c r="AI12" s="140"/>
      <c r="AJ12" s="140"/>
      <c r="AK12" s="140"/>
      <c r="AL12" s="140"/>
      <c r="AM12" s="140"/>
      <c r="AN12" s="140"/>
      <c r="AO12" s="140"/>
      <c r="AP12" s="140"/>
      <c r="AQ12" s="140"/>
      <c r="AR12" s="140"/>
      <c r="AS12" s="140"/>
      <c r="AT12" s="140"/>
      <c r="AU12" s="140"/>
      <c r="AV12" s="140"/>
      <c r="AW12" s="140"/>
      <c r="AX12" s="140"/>
      <c r="AY12" s="140"/>
      <c r="AZ12" s="140"/>
    </row>
    <row r="13" spans="1:52" s="4" customFormat="1" ht="13.5" customHeight="1" thickBot="1">
      <c r="A13" s="298" t="s">
        <v>119</v>
      </c>
      <c r="B13" s="298"/>
      <c r="C13" s="298"/>
      <c r="D13" s="298"/>
      <c r="E13" s="298"/>
      <c r="F13" s="298"/>
      <c r="G13" s="298"/>
      <c r="H13" s="298"/>
      <c r="I13" s="298"/>
      <c r="J13" s="298"/>
      <c r="K13" s="298"/>
      <c r="L13" s="123"/>
      <c r="M13" s="140"/>
      <c r="N13" s="126"/>
      <c r="O13" s="126"/>
      <c r="P13" s="126"/>
      <c r="Q13" s="125"/>
      <c r="R13" s="125"/>
      <c r="S13" s="125"/>
      <c r="T13" s="140"/>
      <c r="U13" s="140"/>
      <c r="V13" s="140"/>
      <c r="W13" s="140"/>
      <c r="X13" s="140"/>
      <c r="Y13" s="126"/>
      <c r="Z13" s="140"/>
      <c r="AA13" s="130">
        <f t="shared" si="6"/>
        <v>0.44999999999999996</v>
      </c>
      <c r="AB13" s="130">
        <f t="shared" si="0"/>
        <v>13.499999999999998</v>
      </c>
      <c r="AC13" s="131">
        <f t="shared" si="1"/>
        <v>71.775</v>
      </c>
      <c r="AD13" s="130">
        <f t="shared" si="2"/>
        <v>94.48979591836735</v>
      </c>
      <c r="AE13" s="130">
        <f t="shared" si="3"/>
        <v>44.99999999999999</v>
      </c>
      <c r="AF13" s="131">
        <f t="shared" si="4"/>
        <v>319</v>
      </c>
      <c r="AG13" s="130">
        <f t="shared" si="5"/>
        <v>346.9387755102041</v>
      </c>
      <c r="AH13" s="140"/>
      <c r="AI13" s="140"/>
      <c r="AJ13" s="140"/>
      <c r="AK13" s="140"/>
      <c r="AL13" s="140"/>
      <c r="AM13" s="126"/>
      <c r="AN13" s="126"/>
      <c r="AO13" s="126"/>
      <c r="AP13" s="126"/>
      <c r="AQ13" s="126"/>
      <c r="AR13" s="126"/>
      <c r="AS13" s="126"/>
      <c r="AT13" s="126"/>
      <c r="AU13" s="126"/>
      <c r="AV13" s="126"/>
      <c r="AW13" s="126"/>
      <c r="AX13" s="140"/>
      <c r="AY13" s="140"/>
      <c r="AZ13" s="140"/>
    </row>
    <row r="14" spans="1:52" s="4" customFormat="1" ht="13.5" customHeight="1" thickTop="1">
      <c r="A14" s="296" t="s">
        <v>147</v>
      </c>
      <c r="B14" s="296"/>
      <c r="C14" s="132">
        <f>MIN(($AP$2/($AP$1+$AP$2))*$C$10,$C$3)</f>
        <v>28.57142857142857</v>
      </c>
      <c r="D14" s="296" t="s">
        <v>148</v>
      </c>
      <c r="E14" s="296"/>
      <c r="F14" s="132">
        <f>$C$4-$AP$1*$C$14^2</f>
        <v>8.367346938775512</v>
      </c>
      <c r="G14" s="141" t="s">
        <v>113</v>
      </c>
      <c r="H14" s="295" t="s">
        <v>114</v>
      </c>
      <c r="I14" s="296"/>
      <c r="J14" s="296"/>
      <c r="K14" s="296"/>
      <c r="L14" s="123"/>
      <c r="M14" s="123"/>
      <c r="N14" s="126"/>
      <c r="O14" s="126"/>
      <c r="P14" s="126"/>
      <c r="Q14" s="125" t="s">
        <v>130</v>
      </c>
      <c r="R14" s="125"/>
      <c r="S14" s="125"/>
      <c r="T14" s="140"/>
      <c r="U14" s="140"/>
      <c r="V14" s="140"/>
      <c r="W14" s="140"/>
      <c r="X14" s="140"/>
      <c r="Y14" s="126"/>
      <c r="Z14" s="123"/>
      <c r="AA14" s="130">
        <f t="shared" si="6"/>
        <v>0.49999999999999994</v>
      </c>
      <c r="AB14" s="130">
        <f t="shared" si="0"/>
        <v>14.999999999999998</v>
      </c>
      <c r="AC14" s="131">
        <f t="shared" si="1"/>
        <v>67.5</v>
      </c>
      <c r="AD14" s="130">
        <f t="shared" si="2"/>
        <v>85.91836734693878</v>
      </c>
      <c r="AE14" s="130">
        <f t="shared" si="3"/>
        <v>49.99999999999999</v>
      </c>
      <c r="AF14" s="131">
        <f t="shared" si="4"/>
        <v>300</v>
      </c>
      <c r="AG14" s="130">
        <f t="shared" si="5"/>
        <v>318.36734693877554</v>
      </c>
      <c r="AH14" s="140"/>
      <c r="AI14" s="140"/>
      <c r="AJ14" s="140"/>
      <c r="AK14" s="140"/>
      <c r="AL14" s="140"/>
      <c r="AM14" s="126"/>
      <c r="AN14" s="126"/>
      <c r="AO14" s="126"/>
      <c r="AP14" s="126"/>
      <c r="AQ14" s="126"/>
      <c r="AR14" s="126"/>
      <c r="AS14" s="126"/>
      <c r="AT14" s="126"/>
      <c r="AU14" s="126"/>
      <c r="AV14" s="126"/>
      <c r="AW14" s="126"/>
      <c r="AX14" s="140"/>
      <c r="AY14" s="140"/>
      <c r="AZ14" s="140"/>
    </row>
    <row r="15" spans="1:52" ht="13.5" customHeight="1">
      <c r="A15" s="299" t="s">
        <v>115</v>
      </c>
      <c r="B15" s="299"/>
      <c r="C15" s="134">
        <f>MIN(($AP$1/($AP$1+$AP$2))*$C$10,$C$5)</f>
        <v>71.42857142857143</v>
      </c>
      <c r="D15" s="299" t="s">
        <v>148</v>
      </c>
      <c r="E15" s="299"/>
      <c r="F15" s="134">
        <f>$C$6-$AP$2*$C$15^2</f>
        <v>195.91836734693877</v>
      </c>
      <c r="G15" s="142" t="s">
        <v>113</v>
      </c>
      <c r="H15" s="136">
        <f>2*$AP$1*$C$14</f>
        <v>5.714285714285714</v>
      </c>
      <c r="I15" s="289" t="s">
        <v>120</v>
      </c>
      <c r="J15" s="299"/>
      <c r="K15" s="299"/>
      <c r="L15" s="123"/>
      <c r="M15" s="126"/>
      <c r="N15" s="124"/>
      <c r="O15" s="126"/>
      <c r="P15" s="126"/>
      <c r="Q15" s="125"/>
      <c r="R15" s="125"/>
      <c r="S15" s="125"/>
      <c r="T15" s="123"/>
      <c r="U15" s="123"/>
      <c r="V15" s="123"/>
      <c r="W15" s="123"/>
      <c r="X15" s="123"/>
      <c r="Y15" s="126"/>
      <c r="Z15" s="123"/>
      <c r="AA15" s="130">
        <f t="shared" si="6"/>
        <v>0.5499999999999999</v>
      </c>
      <c r="AB15" s="130">
        <f t="shared" si="0"/>
        <v>16.499999999999996</v>
      </c>
      <c r="AC15" s="131">
        <f t="shared" si="1"/>
        <v>62.775000000000006</v>
      </c>
      <c r="AD15" s="130">
        <f t="shared" si="2"/>
        <v>77.34693877551022</v>
      </c>
      <c r="AE15" s="130">
        <f t="shared" si="3"/>
        <v>54.99999999999999</v>
      </c>
      <c r="AF15" s="131">
        <f t="shared" si="4"/>
        <v>279</v>
      </c>
      <c r="AG15" s="130">
        <f t="shared" si="5"/>
        <v>289.7959183673469</v>
      </c>
      <c r="AH15" s="123"/>
      <c r="AI15" s="123"/>
      <c r="AJ15" s="123"/>
      <c r="AK15" s="126"/>
      <c r="AL15" s="126"/>
      <c r="AM15" s="126"/>
      <c r="AN15" s="126"/>
      <c r="AO15" s="126"/>
      <c r="AP15" s="126"/>
      <c r="AQ15" s="126"/>
      <c r="AR15" s="126"/>
      <c r="AS15" s="126"/>
      <c r="AT15" s="126"/>
      <c r="AU15" s="126"/>
      <c r="AV15" s="126"/>
      <c r="AW15" s="126"/>
      <c r="AX15" s="123"/>
      <c r="AY15" s="123"/>
      <c r="AZ15" s="123"/>
    </row>
    <row r="16" spans="1:52" ht="13.5" customHeight="1" thickBot="1">
      <c r="A16" s="294" t="s">
        <v>149</v>
      </c>
      <c r="B16" s="294"/>
      <c r="C16" s="143">
        <f>C14+C15</f>
        <v>100</v>
      </c>
      <c r="D16" s="294" t="s">
        <v>148</v>
      </c>
      <c r="E16" s="294"/>
      <c r="F16" s="143">
        <f>F14+F15</f>
        <v>204.28571428571428</v>
      </c>
      <c r="G16" s="144" t="s">
        <v>113</v>
      </c>
      <c r="H16" s="145">
        <f>2*$AP$2*$C$15</f>
        <v>5.714285714285714</v>
      </c>
      <c r="I16" s="300" t="s">
        <v>121</v>
      </c>
      <c r="J16" s="294"/>
      <c r="K16" s="294"/>
      <c r="L16" s="123"/>
      <c r="M16" s="126"/>
      <c r="N16" s="126"/>
      <c r="O16" s="126"/>
      <c r="P16" s="126"/>
      <c r="Q16" s="126"/>
      <c r="R16" s="126"/>
      <c r="S16" s="126"/>
      <c r="T16" s="126"/>
      <c r="U16" s="126"/>
      <c r="V16" s="126"/>
      <c r="W16" s="126"/>
      <c r="X16" s="126"/>
      <c r="Y16" s="126"/>
      <c r="Z16" s="123"/>
      <c r="AA16" s="130">
        <f t="shared" si="6"/>
        <v>0.6</v>
      </c>
      <c r="AB16" s="130">
        <f t="shared" si="0"/>
        <v>18</v>
      </c>
      <c r="AC16" s="131">
        <f t="shared" si="1"/>
        <v>57.6</v>
      </c>
      <c r="AD16" s="130">
        <f t="shared" si="2"/>
        <v>68.77551020408163</v>
      </c>
      <c r="AE16" s="130">
        <f t="shared" si="3"/>
        <v>60</v>
      </c>
      <c r="AF16" s="131">
        <f t="shared" si="4"/>
        <v>256</v>
      </c>
      <c r="AG16" s="130">
        <f t="shared" si="5"/>
        <v>261.2244897959183</v>
      </c>
      <c r="AH16" s="123"/>
      <c r="AI16" s="123"/>
      <c r="AJ16" s="123"/>
      <c r="AK16" s="126"/>
      <c r="AL16" s="126"/>
      <c r="AM16" s="126"/>
      <c r="AN16" s="126"/>
      <c r="AO16" s="126"/>
      <c r="AP16" s="126"/>
      <c r="AQ16" s="126"/>
      <c r="AR16" s="126"/>
      <c r="AS16" s="126"/>
      <c r="AT16" s="126"/>
      <c r="AU16" s="126"/>
      <c r="AV16" s="126"/>
      <c r="AW16" s="126"/>
      <c r="AX16" s="123"/>
      <c r="AY16" s="123"/>
      <c r="AZ16" s="123"/>
    </row>
    <row r="17" spans="1:52" ht="13.5" customHeight="1" thickTop="1">
      <c r="A17" s="292" t="s">
        <v>122</v>
      </c>
      <c r="B17" s="293"/>
      <c r="C17" s="293"/>
      <c r="D17" s="293"/>
      <c r="E17" s="293"/>
      <c r="F17" s="293"/>
      <c r="G17" s="147">
        <f>$F$16-$F$10</f>
        <v>0.2857142857142776</v>
      </c>
      <c r="H17" s="147" t="s">
        <v>210</v>
      </c>
      <c r="I17" s="147">
        <f>100*G17/F16</f>
        <v>0.1398601398601359</v>
      </c>
      <c r="J17" s="148" t="s">
        <v>123</v>
      </c>
      <c r="K17" s="149"/>
      <c r="L17" s="123"/>
      <c r="M17" s="126"/>
      <c r="N17" s="126"/>
      <c r="O17" s="126"/>
      <c r="P17" s="126"/>
      <c r="Q17" s="126"/>
      <c r="R17" s="126"/>
      <c r="S17" s="126"/>
      <c r="T17" s="126"/>
      <c r="U17" s="126"/>
      <c r="V17" s="126"/>
      <c r="W17" s="126"/>
      <c r="X17" s="126"/>
      <c r="Y17" s="126"/>
      <c r="Z17" s="123"/>
      <c r="AA17" s="130">
        <f t="shared" si="6"/>
        <v>0.65</v>
      </c>
      <c r="AB17" s="130">
        <f t="shared" si="0"/>
        <v>19.5</v>
      </c>
      <c r="AC17" s="131">
        <f t="shared" si="1"/>
        <v>51.975</v>
      </c>
      <c r="AD17" s="130">
        <f t="shared" si="2"/>
        <v>60.20408163265306</v>
      </c>
      <c r="AE17" s="130">
        <f t="shared" si="3"/>
        <v>65</v>
      </c>
      <c r="AF17" s="131">
        <f t="shared" si="4"/>
        <v>231</v>
      </c>
      <c r="AG17" s="130">
        <f t="shared" si="5"/>
        <v>232.65306122448976</v>
      </c>
      <c r="AH17" s="123"/>
      <c r="AI17" s="123"/>
      <c r="AJ17" s="123"/>
      <c r="AK17" s="126"/>
      <c r="AL17" s="126"/>
      <c r="AM17" s="126"/>
      <c r="AN17" s="126"/>
      <c r="AO17" s="126"/>
      <c r="AP17" s="126"/>
      <c r="AQ17" s="126"/>
      <c r="AR17" s="126"/>
      <c r="AS17" s="126"/>
      <c r="AT17" s="126"/>
      <c r="AU17" s="126"/>
      <c r="AV17" s="126"/>
      <c r="AW17" s="126"/>
      <c r="AX17" s="123"/>
      <c r="AY17" s="123"/>
      <c r="AZ17" s="123"/>
    </row>
    <row r="18" spans="1:52" ht="13.5" customHeight="1">
      <c r="A18" s="128"/>
      <c r="B18" s="128"/>
      <c r="C18" s="128"/>
      <c r="D18" s="128"/>
      <c r="E18" s="128"/>
      <c r="F18" s="128"/>
      <c r="G18" s="128"/>
      <c r="H18" s="128"/>
      <c r="I18" s="128"/>
      <c r="J18" s="128"/>
      <c r="K18" s="128"/>
      <c r="L18" s="123"/>
      <c r="M18" s="126"/>
      <c r="N18" s="126"/>
      <c r="O18" s="126"/>
      <c r="P18" s="126"/>
      <c r="Q18" s="126"/>
      <c r="R18" s="126"/>
      <c r="S18" s="126"/>
      <c r="T18" s="126"/>
      <c r="U18" s="126"/>
      <c r="V18" s="126"/>
      <c r="W18" s="126"/>
      <c r="X18" s="126"/>
      <c r="Y18" s="126"/>
      <c r="Z18" s="123"/>
      <c r="AA18" s="130">
        <f t="shared" si="6"/>
        <v>0.7000000000000001</v>
      </c>
      <c r="AB18" s="130">
        <f t="shared" si="0"/>
        <v>21.000000000000004</v>
      </c>
      <c r="AC18" s="131">
        <f t="shared" si="1"/>
        <v>45.89999999999998</v>
      </c>
      <c r="AD18" s="130">
        <f t="shared" si="2"/>
        <v>51.63265306122446</v>
      </c>
      <c r="AE18" s="130">
        <f t="shared" si="3"/>
        <v>70</v>
      </c>
      <c r="AF18" s="131">
        <f t="shared" si="4"/>
        <v>204</v>
      </c>
      <c r="AG18" s="130">
        <f t="shared" si="5"/>
        <v>204.0816326530612</v>
      </c>
      <c r="AH18" s="123"/>
      <c r="AI18" s="123"/>
      <c r="AJ18" s="123"/>
      <c r="AK18" s="123"/>
      <c r="AL18" s="123"/>
      <c r="AM18" s="123"/>
      <c r="AN18" s="126"/>
      <c r="AO18" s="126"/>
      <c r="AP18" s="126"/>
      <c r="AQ18" s="126"/>
      <c r="AR18" s="126"/>
      <c r="AS18" s="126"/>
      <c r="AT18" s="126"/>
      <c r="AU18" s="126"/>
      <c r="AV18" s="126"/>
      <c r="AW18" s="126"/>
      <c r="AX18" s="123"/>
      <c r="AY18" s="123"/>
      <c r="AZ18" s="123"/>
    </row>
    <row r="19" spans="1:52" ht="13.5" customHeight="1">
      <c r="A19" s="134" t="s">
        <v>150</v>
      </c>
      <c r="B19" s="134">
        <f>2*$AP$1*$C$14</f>
        <v>5.714285714285714</v>
      </c>
      <c r="C19" s="288" t="s">
        <v>151</v>
      </c>
      <c r="D19" s="289"/>
      <c r="E19" s="134">
        <f>F14+(C14-C8)*H15</f>
        <v>0.20408163265305035</v>
      </c>
      <c r="F19" s="134" t="s">
        <v>93</v>
      </c>
      <c r="G19" s="128"/>
      <c r="H19" s="128"/>
      <c r="I19" s="128"/>
      <c r="J19" s="128"/>
      <c r="K19" s="128"/>
      <c r="L19" s="123"/>
      <c r="M19" s="126"/>
      <c r="N19" s="126"/>
      <c r="O19" s="126"/>
      <c r="P19" s="126"/>
      <c r="Q19" s="126"/>
      <c r="R19" s="126"/>
      <c r="S19" s="126"/>
      <c r="T19" s="126"/>
      <c r="U19" s="126"/>
      <c r="V19" s="126"/>
      <c r="W19" s="126"/>
      <c r="X19" s="126"/>
      <c r="Y19" s="126"/>
      <c r="Z19" s="123"/>
      <c r="AA19" s="130">
        <f t="shared" si="6"/>
        <v>0.7500000000000001</v>
      </c>
      <c r="AB19" s="130">
        <f t="shared" si="0"/>
        <v>22.500000000000004</v>
      </c>
      <c r="AC19" s="131">
        <f t="shared" si="1"/>
        <v>39.37499999999998</v>
      </c>
      <c r="AD19" s="130">
        <f t="shared" si="2"/>
        <v>43.061224489795904</v>
      </c>
      <c r="AE19" s="130">
        <f t="shared" si="3"/>
        <v>75.00000000000001</v>
      </c>
      <c r="AF19" s="131">
        <f t="shared" si="4"/>
        <v>174.99999999999991</v>
      </c>
      <c r="AG19" s="130">
        <f t="shared" si="5"/>
        <v>175.51020408163254</v>
      </c>
      <c r="AH19" s="123"/>
      <c r="AI19" s="123"/>
      <c r="AJ19" s="123"/>
      <c r="AK19" s="123"/>
      <c r="AL19" s="123"/>
      <c r="AM19" s="123"/>
      <c r="AN19" s="126"/>
      <c r="AO19" s="126"/>
      <c r="AP19" s="126"/>
      <c r="AQ19" s="126"/>
      <c r="AR19" s="126"/>
      <c r="AS19" s="126"/>
      <c r="AT19" s="126"/>
      <c r="AU19" s="126"/>
      <c r="AV19" s="126"/>
      <c r="AW19" s="126"/>
      <c r="AX19" s="123"/>
      <c r="AY19" s="123"/>
      <c r="AZ19" s="123"/>
    </row>
    <row r="20" spans="1:52" ht="13.5" customHeight="1">
      <c r="A20" s="146"/>
      <c r="B20" s="134" t="s">
        <v>79</v>
      </c>
      <c r="C20" s="288" t="s">
        <v>152</v>
      </c>
      <c r="D20" s="289"/>
      <c r="E20" s="134">
        <f>F15+(C15-C9)*H15</f>
        <v>204.08163265306123</v>
      </c>
      <c r="F20" s="134" t="s">
        <v>93</v>
      </c>
      <c r="G20" s="128"/>
      <c r="H20" s="128"/>
      <c r="I20" s="128"/>
      <c r="J20" s="128"/>
      <c r="K20" s="128"/>
      <c r="L20" s="123"/>
      <c r="M20" s="126"/>
      <c r="N20" s="126"/>
      <c r="O20" s="126"/>
      <c r="P20" s="126"/>
      <c r="Q20" s="126"/>
      <c r="R20" s="126"/>
      <c r="S20" s="126"/>
      <c r="T20" s="126"/>
      <c r="U20" s="126"/>
      <c r="V20" s="126"/>
      <c r="W20" s="126"/>
      <c r="X20" s="126"/>
      <c r="Y20" s="126"/>
      <c r="Z20" s="123"/>
      <c r="AA20" s="130">
        <f t="shared" si="6"/>
        <v>0.8000000000000002</v>
      </c>
      <c r="AB20" s="130">
        <f t="shared" si="0"/>
        <v>24.000000000000004</v>
      </c>
      <c r="AC20" s="131">
        <f t="shared" si="1"/>
        <v>32.39999999999998</v>
      </c>
      <c r="AD20" s="130">
        <f t="shared" si="2"/>
        <v>34.48979591836732</v>
      </c>
      <c r="AE20" s="130">
        <f t="shared" si="3"/>
        <v>80.00000000000001</v>
      </c>
      <c r="AF20" s="131">
        <f t="shared" si="4"/>
        <v>143.99999999999994</v>
      </c>
      <c r="AG20" s="130">
        <f t="shared" si="5"/>
        <v>146.93877551020398</v>
      </c>
      <c r="AH20" s="123"/>
      <c r="AI20" s="123"/>
      <c r="AJ20" s="123"/>
      <c r="AK20" s="123"/>
      <c r="AL20" s="123"/>
      <c r="AM20" s="123"/>
      <c r="AN20" s="126"/>
      <c r="AO20" s="126"/>
      <c r="AP20" s="126"/>
      <c r="AQ20" s="126"/>
      <c r="AR20" s="126"/>
      <c r="AS20" s="126"/>
      <c r="AT20" s="126"/>
      <c r="AU20" s="126"/>
      <c r="AV20" s="126"/>
      <c r="AW20" s="126"/>
      <c r="AX20" s="123"/>
      <c r="AY20" s="123"/>
      <c r="AZ20" s="123"/>
    </row>
    <row r="21" spans="1:52" ht="13.5" customHeight="1">
      <c r="A21" s="123"/>
      <c r="B21" s="123"/>
      <c r="C21" s="123"/>
      <c r="D21" s="123"/>
      <c r="E21" s="123"/>
      <c r="F21" s="123"/>
      <c r="G21" s="123"/>
      <c r="H21" s="123"/>
      <c r="I21" s="123"/>
      <c r="J21" s="123"/>
      <c r="K21" s="123"/>
      <c r="L21" s="123"/>
      <c r="M21" s="126"/>
      <c r="N21" s="126"/>
      <c r="O21" s="126"/>
      <c r="P21" s="126"/>
      <c r="Q21" s="126"/>
      <c r="R21" s="126"/>
      <c r="S21" s="126"/>
      <c r="T21" s="126"/>
      <c r="U21" s="126"/>
      <c r="V21" s="126"/>
      <c r="W21" s="126"/>
      <c r="X21" s="126"/>
      <c r="Y21" s="126"/>
      <c r="Z21" s="123"/>
      <c r="AA21" s="130">
        <f t="shared" si="6"/>
        <v>0.8500000000000002</v>
      </c>
      <c r="AB21" s="130">
        <f t="shared" si="0"/>
        <v>25.500000000000007</v>
      </c>
      <c r="AC21" s="131">
        <f t="shared" si="1"/>
        <v>24.974999999999966</v>
      </c>
      <c r="AD21" s="130">
        <f t="shared" si="2"/>
        <v>25.918367346938737</v>
      </c>
      <c r="AE21" s="130">
        <f t="shared" si="3"/>
        <v>85.00000000000001</v>
      </c>
      <c r="AF21" s="131">
        <f t="shared" si="4"/>
        <v>110.99999999999989</v>
      </c>
      <c r="AG21" s="130">
        <f t="shared" si="5"/>
        <v>118.36734693877543</v>
      </c>
      <c r="AH21" s="123"/>
      <c r="AI21" s="123"/>
      <c r="AJ21" s="123"/>
      <c r="AK21" s="123"/>
      <c r="AL21" s="123"/>
      <c r="AM21" s="123"/>
      <c r="AN21" s="126"/>
      <c r="AO21" s="126"/>
      <c r="AP21" s="126"/>
      <c r="AQ21" s="126"/>
      <c r="AR21" s="126"/>
      <c r="AS21" s="126"/>
      <c r="AT21" s="126"/>
      <c r="AU21" s="126"/>
      <c r="AV21" s="126"/>
      <c r="AW21" s="126"/>
      <c r="AX21" s="123"/>
      <c r="AY21" s="123"/>
      <c r="AZ21" s="123"/>
    </row>
    <row r="22" spans="1:52" ht="13.5" customHeight="1">
      <c r="A22" s="126"/>
      <c r="B22" s="126"/>
      <c r="C22" s="126"/>
      <c r="D22" s="126"/>
      <c r="E22" s="126"/>
      <c r="F22" s="126"/>
      <c r="G22" s="126"/>
      <c r="H22" s="126"/>
      <c r="I22" s="126"/>
      <c r="J22" s="126"/>
      <c r="K22" s="126"/>
      <c r="L22" s="126"/>
      <c r="M22" s="123"/>
      <c r="N22" s="126"/>
      <c r="O22" s="126"/>
      <c r="P22" s="126"/>
      <c r="Q22" s="126"/>
      <c r="R22" s="126"/>
      <c r="S22" s="126"/>
      <c r="T22" s="126"/>
      <c r="U22" s="126"/>
      <c r="V22" s="126"/>
      <c r="W22" s="126"/>
      <c r="X22" s="126"/>
      <c r="Y22" s="126"/>
      <c r="Z22" s="140"/>
      <c r="AA22" s="130">
        <f t="shared" si="6"/>
        <v>0.9000000000000002</v>
      </c>
      <c r="AB22" s="130">
        <f t="shared" si="0"/>
        <v>27.000000000000007</v>
      </c>
      <c r="AC22" s="131">
        <f t="shared" si="1"/>
        <v>17.099999999999966</v>
      </c>
      <c r="AD22" s="130">
        <f t="shared" si="2"/>
        <v>17.346938775510154</v>
      </c>
      <c r="AE22" s="130">
        <f t="shared" si="3"/>
        <v>90.00000000000003</v>
      </c>
      <c r="AF22" s="131">
        <f t="shared" si="4"/>
        <v>75.99999999999977</v>
      </c>
      <c r="AG22" s="130">
        <f t="shared" si="5"/>
        <v>89.79591836734676</v>
      </c>
      <c r="AH22" s="123"/>
      <c r="AI22" s="123"/>
      <c r="AJ22" s="123"/>
      <c r="AK22" s="123"/>
      <c r="AL22" s="123"/>
      <c r="AM22" s="123"/>
      <c r="AN22" s="126"/>
      <c r="AO22" s="126"/>
      <c r="AP22" s="126"/>
      <c r="AQ22" s="126"/>
      <c r="AR22" s="126"/>
      <c r="AS22" s="126"/>
      <c r="AT22" s="126"/>
      <c r="AU22" s="126"/>
      <c r="AV22" s="126"/>
      <c r="AW22" s="126"/>
      <c r="AX22" s="123"/>
      <c r="AY22" s="123"/>
      <c r="AZ22" s="123"/>
    </row>
    <row r="23" spans="1:52" s="4" customFormat="1" ht="13.5" customHeight="1">
      <c r="A23" s="126"/>
      <c r="B23" s="126"/>
      <c r="C23" s="126"/>
      <c r="D23" s="126"/>
      <c r="E23" s="126"/>
      <c r="F23" s="126"/>
      <c r="G23" s="126"/>
      <c r="H23" s="126"/>
      <c r="I23" s="126"/>
      <c r="J23" s="126"/>
      <c r="K23" s="126"/>
      <c r="L23" s="126"/>
      <c r="M23" s="123"/>
      <c r="N23" s="126"/>
      <c r="O23" s="126"/>
      <c r="P23" s="126"/>
      <c r="Q23" s="126"/>
      <c r="R23" s="126"/>
      <c r="S23" s="126"/>
      <c r="T23" s="126"/>
      <c r="U23" s="126"/>
      <c r="V23" s="126"/>
      <c r="W23" s="126"/>
      <c r="X23" s="126"/>
      <c r="Y23" s="126"/>
      <c r="Z23" s="140"/>
      <c r="AA23" s="130">
        <f t="shared" si="6"/>
        <v>0.9500000000000003</v>
      </c>
      <c r="AB23" s="130">
        <f t="shared" si="0"/>
        <v>28.500000000000007</v>
      </c>
      <c r="AC23" s="131">
        <f t="shared" si="1"/>
        <v>8.774999999999949</v>
      </c>
      <c r="AD23" s="130">
        <f t="shared" si="2"/>
        <v>8.775510204081598</v>
      </c>
      <c r="AE23" s="130">
        <f t="shared" si="3"/>
        <v>95.00000000000003</v>
      </c>
      <c r="AF23" s="131">
        <f t="shared" si="4"/>
        <v>38.99999999999977</v>
      </c>
      <c r="AG23" s="130">
        <f t="shared" si="5"/>
        <v>61.2244897959182</v>
      </c>
      <c r="AH23" s="140"/>
      <c r="AI23" s="140"/>
      <c r="AJ23" s="140"/>
      <c r="AK23" s="140"/>
      <c r="AL23" s="140"/>
      <c r="AM23" s="140"/>
      <c r="AN23" s="126"/>
      <c r="AO23" s="126"/>
      <c r="AP23" s="126"/>
      <c r="AQ23" s="126"/>
      <c r="AR23" s="126"/>
      <c r="AS23" s="126"/>
      <c r="AT23" s="126"/>
      <c r="AU23" s="126"/>
      <c r="AV23" s="126"/>
      <c r="AW23" s="126"/>
      <c r="AX23" s="140"/>
      <c r="AY23" s="140"/>
      <c r="AZ23" s="140"/>
    </row>
    <row r="24" spans="1:52" s="4" customFormat="1" ht="13.5" customHeight="1">
      <c r="A24" s="123"/>
      <c r="B24" s="123"/>
      <c r="C24" s="123"/>
      <c r="D24" s="123"/>
      <c r="E24" s="123"/>
      <c r="F24" s="123"/>
      <c r="G24" s="123"/>
      <c r="H24" s="123"/>
      <c r="I24" s="123"/>
      <c r="J24" s="123"/>
      <c r="K24" s="123"/>
      <c r="L24" s="123"/>
      <c r="M24" s="126"/>
      <c r="N24" s="126"/>
      <c r="O24" s="126"/>
      <c r="P24" s="126"/>
      <c r="Q24" s="126"/>
      <c r="R24" s="126"/>
      <c r="S24" s="126"/>
      <c r="T24" s="126"/>
      <c r="U24" s="126"/>
      <c r="V24" s="126"/>
      <c r="W24" s="126"/>
      <c r="X24" s="126"/>
      <c r="Y24" s="126"/>
      <c r="Z24" s="123"/>
      <c r="AA24" s="130">
        <f t="shared" si="6"/>
        <v>1.0000000000000002</v>
      </c>
      <c r="AB24" s="130">
        <f t="shared" si="0"/>
        <v>30.000000000000007</v>
      </c>
      <c r="AC24" s="131">
        <f t="shared" si="1"/>
        <v>0</v>
      </c>
      <c r="AD24" s="130">
        <f t="shared" si="2"/>
        <v>0.20408163265301482</v>
      </c>
      <c r="AE24" s="130">
        <f t="shared" si="3"/>
        <v>100.00000000000003</v>
      </c>
      <c r="AF24" s="131">
        <f t="shared" si="4"/>
        <v>0</v>
      </c>
      <c r="AG24" s="130">
        <f t="shared" si="5"/>
        <v>32.65306122448965</v>
      </c>
      <c r="AH24" s="140"/>
      <c r="AI24" s="140"/>
      <c r="AJ24" s="140"/>
      <c r="AK24" s="140"/>
      <c r="AL24" s="140"/>
      <c r="AM24" s="140"/>
      <c r="AN24" s="126"/>
      <c r="AO24" s="126"/>
      <c r="AP24" s="126"/>
      <c r="AQ24" s="126"/>
      <c r="AR24" s="126"/>
      <c r="AS24" s="126"/>
      <c r="AT24" s="126"/>
      <c r="AU24" s="126"/>
      <c r="AV24" s="126"/>
      <c r="AW24" s="126"/>
      <c r="AX24" s="140"/>
      <c r="AY24" s="140"/>
      <c r="AZ24" s="140"/>
    </row>
    <row r="25" spans="1:52" ht="13.5" customHeight="1">
      <c r="A25" s="123"/>
      <c r="B25" s="123"/>
      <c r="C25" s="123"/>
      <c r="D25" s="123"/>
      <c r="E25" s="123"/>
      <c r="F25" s="123"/>
      <c r="G25" s="123"/>
      <c r="H25" s="123"/>
      <c r="I25" s="123"/>
      <c r="J25" s="123"/>
      <c r="K25" s="123"/>
      <c r="L25" s="123"/>
      <c r="M25" s="126"/>
      <c r="N25" s="126"/>
      <c r="O25" s="126"/>
      <c r="P25" s="126"/>
      <c r="Q25" s="126"/>
      <c r="R25" s="126"/>
      <c r="S25" s="126"/>
      <c r="T25" s="126"/>
      <c r="U25" s="126"/>
      <c r="V25" s="126"/>
      <c r="W25" s="126"/>
      <c r="X25" s="126"/>
      <c r="Y25" s="126"/>
      <c r="Z25" s="123"/>
      <c r="AA25" s="123"/>
      <c r="AB25" s="123"/>
      <c r="AC25" s="123"/>
      <c r="AD25" s="123"/>
      <c r="AE25" s="123"/>
      <c r="AF25" s="123"/>
      <c r="AG25" s="123"/>
      <c r="AH25" s="123"/>
      <c r="AI25" s="123"/>
      <c r="AJ25" s="123"/>
      <c r="AK25" s="126"/>
      <c r="AL25" s="126"/>
      <c r="AM25" s="126"/>
      <c r="AN25" s="126"/>
      <c r="AO25" s="126"/>
      <c r="AP25" s="126"/>
      <c r="AQ25" s="126"/>
      <c r="AR25" s="126"/>
      <c r="AS25" s="126"/>
      <c r="AT25" s="126"/>
      <c r="AU25" s="126"/>
      <c r="AV25" s="126"/>
      <c r="AW25" s="126"/>
      <c r="AX25" s="123"/>
      <c r="AY25" s="123"/>
      <c r="AZ25" s="123"/>
    </row>
    <row r="26" spans="1:52" ht="13.5" customHeight="1">
      <c r="A26" s="140"/>
      <c r="B26" s="140"/>
      <c r="C26" s="140"/>
      <c r="D26" s="140"/>
      <c r="E26" s="140"/>
      <c r="F26" s="140"/>
      <c r="G26" s="140"/>
      <c r="H26" s="126"/>
      <c r="I26" s="126"/>
      <c r="J26" s="126"/>
      <c r="K26" s="126"/>
      <c r="L26" s="126"/>
      <c r="M26" s="126"/>
      <c r="N26" s="126"/>
      <c r="O26" s="126"/>
      <c r="P26" s="126"/>
      <c r="Q26" s="126"/>
      <c r="R26" s="126"/>
      <c r="S26" s="126"/>
      <c r="T26" s="126"/>
      <c r="U26" s="126"/>
      <c r="V26" s="126"/>
      <c r="W26" s="126"/>
      <c r="X26" s="126"/>
      <c r="Y26" s="126"/>
      <c r="Z26" s="123"/>
      <c r="AA26" s="123"/>
      <c r="AB26" s="123"/>
      <c r="AC26" s="123"/>
      <c r="AD26" s="123"/>
      <c r="AE26" s="123"/>
      <c r="AF26" s="123"/>
      <c r="AG26" s="123"/>
      <c r="AH26" s="123"/>
      <c r="AI26" s="123"/>
      <c r="AJ26" s="123"/>
      <c r="AK26" s="126"/>
      <c r="AL26" s="126"/>
      <c r="AM26" s="126"/>
      <c r="AN26" s="126"/>
      <c r="AO26" s="126"/>
      <c r="AP26" s="126"/>
      <c r="AQ26" s="126"/>
      <c r="AR26" s="126"/>
      <c r="AS26" s="126"/>
      <c r="AT26" s="126"/>
      <c r="AU26" s="126"/>
      <c r="AV26" s="126"/>
      <c r="AW26" s="126"/>
      <c r="AX26" s="123"/>
      <c r="AY26" s="123"/>
      <c r="AZ26" s="123"/>
    </row>
    <row r="27" spans="1:52" ht="13.5" customHeight="1">
      <c r="A27" s="123"/>
      <c r="B27" s="123"/>
      <c r="C27" s="123"/>
      <c r="D27" s="123"/>
      <c r="E27" s="123"/>
      <c r="F27" s="123"/>
      <c r="G27" s="123"/>
      <c r="H27" s="126"/>
      <c r="I27" s="126"/>
      <c r="J27" s="126"/>
      <c r="K27" s="126"/>
      <c r="L27" s="126"/>
      <c r="M27" s="126"/>
      <c r="N27" s="126"/>
      <c r="O27" s="126"/>
      <c r="P27" s="126"/>
      <c r="Q27" s="126"/>
      <c r="R27" s="126"/>
      <c r="S27" s="126"/>
      <c r="T27" s="126"/>
      <c r="U27" s="126"/>
      <c r="V27" s="126"/>
      <c r="W27" s="126"/>
      <c r="X27" s="126"/>
      <c r="Y27" s="126"/>
      <c r="Z27" s="123"/>
      <c r="AA27" s="123"/>
      <c r="AB27" s="123"/>
      <c r="AC27" s="123"/>
      <c r="AD27" s="123"/>
      <c r="AE27" s="123"/>
      <c r="AF27" s="123"/>
      <c r="AG27" s="123"/>
      <c r="AH27" s="123"/>
      <c r="AI27" s="123"/>
      <c r="AJ27" s="123"/>
      <c r="AK27" s="126"/>
      <c r="AL27" s="126"/>
      <c r="AM27" s="126"/>
      <c r="AN27" s="126"/>
      <c r="AO27" s="126"/>
      <c r="AP27" s="126"/>
      <c r="AQ27" s="126"/>
      <c r="AR27" s="126"/>
      <c r="AS27" s="126"/>
      <c r="AT27" s="126"/>
      <c r="AU27" s="126"/>
      <c r="AV27" s="126"/>
      <c r="AW27" s="126"/>
      <c r="AX27" s="123"/>
      <c r="AY27" s="123"/>
      <c r="AZ27" s="123"/>
    </row>
    <row r="28" spans="1:52" ht="13.5" customHeight="1">
      <c r="A28" s="123"/>
      <c r="B28" s="123"/>
      <c r="C28" s="123"/>
      <c r="D28" s="123"/>
      <c r="E28" s="123"/>
      <c r="F28" s="123"/>
      <c r="G28" s="123"/>
      <c r="H28" s="126"/>
      <c r="I28" s="126"/>
      <c r="J28" s="126"/>
      <c r="K28" s="126"/>
      <c r="L28" s="126"/>
      <c r="M28" s="126"/>
      <c r="N28" s="126"/>
      <c r="O28" s="126"/>
      <c r="P28" s="126"/>
      <c r="Q28" s="126"/>
      <c r="R28" s="126"/>
      <c r="S28" s="126"/>
      <c r="T28" s="126"/>
      <c r="U28" s="126"/>
      <c r="V28" s="126"/>
      <c r="W28" s="126"/>
      <c r="X28" s="126"/>
      <c r="Y28" s="126"/>
      <c r="Z28" s="123"/>
      <c r="AA28" s="123"/>
      <c r="AB28" s="123"/>
      <c r="AC28" s="123"/>
      <c r="AD28" s="123"/>
      <c r="AE28" s="123"/>
      <c r="AF28" s="123"/>
      <c r="AG28" s="123"/>
      <c r="AH28" s="123"/>
      <c r="AI28" s="123"/>
      <c r="AJ28" s="123"/>
      <c r="AK28" s="126"/>
      <c r="AL28" s="126"/>
      <c r="AM28" s="126"/>
      <c r="AN28" s="126"/>
      <c r="AO28" s="126"/>
      <c r="AP28" s="126"/>
      <c r="AQ28" s="126"/>
      <c r="AR28" s="126"/>
      <c r="AS28" s="126"/>
      <c r="AT28" s="126"/>
      <c r="AU28" s="126"/>
      <c r="AV28" s="126"/>
      <c r="AW28" s="126"/>
      <c r="AX28" s="123"/>
      <c r="AY28" s="123"/>
      <c r="AZ28" s="123"/>
    </row>
    <row r="29" spans="1:52" ht="13.5" customHeight="1">
      <c r="A29" s="123"/>
      <c r="B29" s="123"/>
      <c r="C29" s="123"/>
      <c r="D29" s="123"/>
      <c r="E29" s="123"/>
      <c r="F29" s="123"/>
      <c r="G29" s="123"/>
      <c r="H29" s="126"/>
      <c r="I29" s="126"/>
      <c r="J29" s="126"/>
      <c r="K29" s="126"/>
      <c r="L29" s="126"/>
      <c r="M29" s="126"/>
      <c r="N29" s="126"/>
      <c r="O29" s="126"/>
      <c r="P29" s="126"/>
      <c r="Q29" s="126"/>
      <c r="R29" s="126"/>
      <c r="S29" s="126"/>
      <c r="T29" s="126"/>
      <c r="U29" s="126"/>
      <c r="V29" s="126"/>
      <c r="W29" s="126"/>
      <c r="X29" s="126"/>
      <c r="Y29" s="126"/>
      <c r="Z29" s="123"/>
      <c r="AA29" s="123"/>
      <c r="AB29" s="123"/>
      <c r="AC29" s="123"/>
      <c r="AD29" s="123"/>
      <c r="AE29" s="123"/>
      <c r="AF29" s="123"/>
      <c r="AG29" s="123"/>
      <c r="AH29" s="123"/>
      <c r="AI29" s="123"/>
      <c r="AJ29" s="123"/>
      <c r="AK29" s="126"/>
      <c r="AL29" s="126"/>
      <c r="AM29" s="126"/>
      <c r="AN29" s="126"/>
      <c r="AO29" s="126"/>
      <c r="AP29" s="126"/>
      <c r="AQ29" s="126"/>
      <c r="AR29" s="126"/>
      <c r="AS29" s="126"/>
      <c r="AT29" s="126"/>
      <c r="AU29" s="126"/>
      <c r="AV29" s="126"/>
      <c r="AW29" s="126"/>
      <c r="AX29" s="123"/>
      <c r="AY29" s="123"/>
      <c r="AZ29" s="123"/>
    </row>
    <row r="30" spans="1:52" ht="13.5" customHeight="1">
      <c r="A30" s="123"/>
      <c r="B30" s="123"/>
      <c r="C30" s="123"/>
      <c r="D30" s="123"/>
      <c r="E30" s="123"/>
      <c r="F30" s="123"/>
      <c r="G30" s="123"/>
      <c r="H30" s="126"/>
      <c r="I30" s="126"/>
      <c r="J30" s="126"/>
      <c r="K30" s="126"/>
      <c r="L30" s="126"/>
      <c r="M30" s="126"/>
      <c r="N30" s="126"/>
      <c r="O30" s="126"/>
      <c r="P30" s="126"/>
      <c r="Q30" s="126"/>
      <c r="R30" s="126"/>
      <c r="S30" s="126"/>
      <c r="T30" s="126"/>
      <c r="U30" s="126"/>
      <c r="V30" s="126"/>
      <c r="W30" s="126"/>
      <c r="X30" s="126"/>
      <c r="Y30" s="126"/>
      <c r="Z30" s="123"/>
      <c r="AA30" s="123"/>
      <c r="AB30" s="123"/>
      <c r="AC30" s="123"/>
      <c r="AD30" s="123"/>
      <c r="AE30" s="123"/>
      <c r="AF30" s="123"/>
      <c r="AG30" s="123"/>
      <c r="AH30" s="123"/>
      <c r="AI30" s="123"/>
      <c r="AJ30" s="123"/>
      <c r="AK30" s="126"/>
      <c r="AL30" s="126"/>
      <c r="AM30" s="126"/>
      <c r="AN30" s="126"/>
      <c r="AO30" s="126"/>
      <c r="AP30" s="126"/>
      <c r="AQ30" s="126"/>
      <c r="AR30" s="126"/>
      <c r="AS30" s="126"/>
      <c r="AT30" s="126"/>
      <c r="AU30" s="126"/>
      <c r="AV30" s="126"/>
      <c r="AW30" s="126"/>
      <c r="AX30" s="123"/>
      <c r="AY30" s="123"/>
      <c r="AZ30" s="123"/>
    </row>
    <row r="31" spans="1:52" ht="13.5" customHeight="1">
      <c r="A31" s="123"/>
      <c r="B31" s="123"/>
      <c r="C31" s="123"/>
      <c r="D31" s="123"/>
      <c r="E31" s="123"/>
      <c r="F31" s="123"/>
      <c r="G31" s="123"/>
      <c r="H31" s="126"/>
      <c r="I31" s="126"/>
      <c r="J31" s="126"/>
      <c r="K31" s="126"/>
      <c r="L31" s="126"/>
      <c r="M31" s="126"/>
      <c r="N31" s="126"/>
      <c r="O31" s="126"/>
      <c r="P31" s="126"/>
      <c r="Q31" s="126"/>
      <c r="R31" s="126"/>
      <c r="S31" s="126"/>
      <c r="T31" s="126"/>
      <c r="U31" s="126"/>
      <c r="V31" s="126"/>
      <c r="W31" s="126"/>
      <c r="X31" s="126"/>
      <c r="Y31" s="126"/>
      <c r="Z31" s="123"/>
      <c r="AA31" s="123"/>
      <c r="AB31" s="123"/>
      <c r="AC31" s="123"/>
      <c r="AD31" s="123"/>
      <c r="AE31" s="123"/>
      <c r="AF31" s="123"/>
      <c r="AG31" s="123"/>
      <c r="AH31" s="123"/>
      <c r="AI31" s="123"/>
      <c r="AJ31" s="123"/>
      <c r="AK31" s="126"/>
      <c r="AL31" s="126"/>
      <c r="AM31" s="126"/>
      <c r="AN31" s="126"/>
      <c r="AO31" s="126"/>
      <c r="AP31" s="126"/>
      <c r="AQ31" s="126"/>
      <c r="AR31" s="126"/>
      <c r="AS31" s="126"/>
      <c r="AT31" s="126"/>
      <c r="AU31" s="126"/>
      <c r="AV31" s="126"/>
      <c r="AW31" s="126"/>
      <c r="AX31" s="123"/>
      <c r="AY31" s="123"/>
      <c r="AZ31" s="123"/>
    </row>
    <row r="32" spans="1:52" ht="13.5" customHeight="1">
      <c r="A32" s="123"/>
      <c r="B32" s="123"/>
      <c r="C32" s="123"/>
      <c r="D32" s="123"/>
      <c r="E32" s="123"/>
      <c r="F32" s="123"/>
      <c r="G32" s="123"/>
      <c r="H32" s="126"/>
      <c r="I32" s="126"/>
      <c r="J32" s="126"/>
      <c r="K32" s="126"/>
      <c r="L32" s="126"/>
      <c r="M32" s="126"/>
      <c r="N32" s="126"/>
      <c r="O32" s="126"/>
      <c r="P32" s="126"/>
      <c r="Q32" s="126"/>
      <c r="R32" s="126"/>
      <c r="S32" s="126"/>
      <c r="T32" s="126"/>
      <c r="U32" s="126"/>
      <c r="V32" s="126"/>
      <c r="W32" s="126"/>
      <c r="X32" s="126"/>
      <c r="Y32" s="126"/>
      <c r="Z32" s="123"/>
      <c r="AA32" s="123"/>
      <c r="AB32" s="123"/>
      <c r="AC32" s="123"/>
      <c r="AD32" s="123"/>
      <c r="AE32" s="123"/>
      <c r="AF32" s="123"/>
      <c r="AG32" s="123"/>
      <c r="AH32" s="123"/>
      <c r="AI32" s="123"/>
      <c r="AJ32" s="123"/>
      <c r="AK32" s="126"/>
      <c r="AL32" s="126"/>
      <c r="AM32" s="126"/>
      <c r="AN32" s="126"/>
      <c r="AO32" s="126"/>
      <c r="AP32" s="126"/>
      <c r="AQ32" s="126"/>
      <c r="AR32" s="126"/>
      <c r="AS32" s="126"/>
      <c r="AT32" s="126"/>
      <c r="AU32" s="126"/>
      <c r="AV32" s="126"/>
      <c r="AW32" s="126"/>
      <c r="AX32" s="123"/>
      <c r="AY32" s="123"/>
      <c r="AZ32" s="123"/>
    </row>
    <row r="33" spans="1:52" ht="13.5" customHeight="1">
      <c r="A33" s="123"/>
      <c r="B33" s="123"/>
      <c r="C33" s="123"/>
      <c r="D33" s="123"/>
      <c r="E33" s="123"/>
      <c r="F33" s="123"/>
      <c r="G33" s="123"/>
      <c r="H33" s="126"/>
      <c r="I33" s="126"/>
      <c r="J33" s="126"/>
      <c r="K33" s="126"/>
      <c r="L33" s="126"/>
      <c r="M33" s="126"/>
      <c r="N33" s="126"/>
      <c r="O33" s="126"/>
      <c r="P33" s="126"/>
      <c r="Q33" s="126"/>
      <c r="R33" s="126"/>
      <c r="S33" s="126"/>
      <c r="T33" s="126"/>
      <c r="U33" s="126"/>
      <c r="V33" s="126"/>
      <c r="W33" s="126"/>
      <c r="X33" s="126"/>
      <c r="Y33" s="126"/>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row>
    <row r="34" spans="1:52" ht="13.5" customHeight="1">
      <c r="A34" s="123"/>
      <c r="B34" s="123"/>
      <c r="C34" s="123"/>
      <c r="D34" s="123"/>
      <c r="E34" s="123"/>
      <c r="F34" s="123"/>
      <c r="G34" s="123"/>
      <c r="H34" s="126"/>
      <c r="I34" s="126"/>
      <c r="J34" s="126"/>
      <c r="K34" s="126"/>
      <c r="L34" s="126"/>
      <c r="M34" s="126"/>
      <c r="N34" s="126"/>
      <c r="O34" s="126"/>
      <c r="P34" s="126"/>
      <c r="Q34" s="126"/>
      <c r="R34" s="126"/>
      <c r="S34" s="126"/>
      <c r="T34" s="126"/>
      <c r="U34" s="126"/>
      <c r="V34" s="126"/>
      <c r="W34" s="126"/>
      <c r="X34" s="126"/>
      <c r="Y34" s="126"/>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row>
    <row r="35" spans="1:52" ht="13.5" customHeight="1">
      <c r="A35" s="123"/>
      <c r="B35" s="123"/>
      <c r="C35" s="123"/>
      <c r="D35" s="123"/>
      <c r="E35" s="123"/>
      <c r="F35" s="123"/>
      <c r="G35" s="123"/>
      <c r="H35" s="126"/>
      <c r="I35" s="126"/>
      <c r="J35" s="126"/>
      <c r="K35" s="126"/>
      <c r="L35" s="126"/>
      <c r="M35" s="126"/>
      <c r="N35" s="126"/>
      <c r="O35" s="126"/>
      <c r="P35" s="126"/>
      <c r="Q35" s="126"/>
      <c r="R35" s="126"/>
      <c r="S35" s="126"/>
      <c r="T35" s="126"/>
      <c r="U35" s="126"/>
      <c r="V35" s="126"/>
      <c r="W35" s="126"/>
      <c r="X35" s="126"/>
      <c r="Y35" s="126"/>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row>
    <row r="36" spans="1:52" ht="13.5" customHeight="1">
      <c r="A36" s="123"/>
      <c r="B36" s="123"/>
      <c r="C36" s="123"/>
      <c r="D36" s="123"/>
      <c r="E36" s="123"/>
      <c r="F36" s="123"/>
      <c r="G36" s="123"/>
      <c r="H36" s="126"/>
      <c r="I36" s="126"/>
      <c r="J36" s="126"/>
      <c r="K36" s="126"/>
      <c r="L36" s="126"/>
      <c r="M36" s="126"/>
      <c r="N36" s="126"/>
      <c r="O36" s="126"/>
      <c r="P36" s="126"/>
      <c r="Q36" s="126"/>
      <c r="R36" s="126"/>
      <c r="S36" s="126"/>
      <c r="T36" s="126"/>
      <c r="U36" s="126"/>
      <c r="V36" s="126"/>
      <c r="W36" s="126"/>
      <c r="X36" s="126"/>
      <c r="Y36" s="126"/>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row>
    <row r="37" spans="1:52" ht="13.5" customHeight="1">
      <c r="A37" s="123"/>
      <c r="B37" s="123"/>
      <c r="C37" s="123"/>
      <c r="D37" s="123"/>
      <c r="E37" s="123"/>
      <c r="F37" s="123"/>
      <c r="G37" s="123"/>
      <c r="H37" s="126"/>
      <c r="I37" s="126"/>
      <c r="J37" s="126"/>
      <c r="K37" s="126"/>
      <c r="L37" s="126"/>
      <c r="M37" s="126"/>
      <c r="N37" s="126"/>
      <c r="O37" s="126"/>
      <c r="P37" s="126"/>
      <c r="Q37" s="126"/>
      <c r="R37" s="126"/>
      <c r="S37" s="126"/>
      <c r="T37" s="126"/>
      <c r="U37" s="126"/>
      <c r="V37" s="126"/>
      <c r="W37" s="126"/>
      <c r="X37" s="126"/>
      <c r="Y37" s="126"/>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row>
    <row r="38" spans="1:52" ht="13.5" customHeight="1">
      <c r="A38" s="123"/>
      <c r="B38" s="123"/>
      <c r="C38" s="123"/>
      <c r="D38" s="123"/>
      <c r="E38" s="123"/>
      <c r="F38" s="123"/>
      <c r="G38" s="123"/>
      <c r="H38" s="126"/>
      <c r="I38" s="126"/>
      <c r="J38" s="126"/>
      <c r="K38" s="126"/>
      <c r="L38" s="126"/>
      <c r="M38" s="126"/>
      <c r="N38" s="126"/>
      <c r="O38" s="126"/>
      <c r="P38" s="126"/>
      <c r="Q38" s="126"/>
      <c r="R38" s="126"/>
      <c r="S38" s="126"/>
      <c r="T38" s="126"/>
      <c r="U38" s="126"/>
      <c r="V38" s="126"/>
      <c r="W38" s="126"/>
      <c r="X38" s="126"/>
      <c r="Y38" s="126"/>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row>
    <row r="39" spans="1:52" ht="13.5" customHeight="1">
      <c r="A39" s="123"/>
      <c r="B39" s="123"/>
      <c r="C39" s="123"/>
      <c r="D39" s="123"/>
      <c r="E39" s="123"/>
      <c r="F39" s="123"/>
      <c r="G39" s="123"/>
      <c r="H39" s="126"/>
      <c r="I39" s="126"/>
      <c r="J39" s="126"/>
      <c r="K39" s="126"/>
      <c r="L39" s="126"/>
      <c r="M39" s="126"/>
      <c r="N39" s="126"/>
      <c r="O39" s="126"/>
      <c r="P39" s="126"/>
      <c r="Q39" s="126"/>
      <c r="R39" s="126"/>
      <c r="S39" s="126"/>
      <c r="T39" s="126"/>
      <c r="U39" s="126"/>
      <c r="V39" s="126"/>
      <c r="W39" s="126"/>
      <c r="X39" s="126"/>
      <c r="Y39" s="126"/>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row>
    <row r="40" spans="1:52" ht="13.5" customHeight="1">
      <c r="A40" s="123"/>
      <c r="B40" s="123"/>
      <c r="C40" s="123"/>
      <c r="D40" s="123"/>
      <c r="E40" s="123"/>
      <c r="F40" s="123"/>
      <c r="G40" s="123"/>
      <c r="H40" s="126"/>
      <c r="I40" s="126"/>
      <c r="J40" s="126"/>
      <c r="K40" s="126"/>
      <c r="L40" s="126"/>
      <c r="M40" s="126"/>
      <c r="N40" s="126"/>
      <c r="O40" s="126"/>
      <c r="P40" s="126"/>
      <c r="Q40" s="126"/>
      <c r="R40" s="126"/>
      <c r="S40" s="126"/>
      <c r="T40" s="126"/>
      <c r="U40" s="126"/>
      <c r="V40" s="126"/>
      <c r="W40" s="126"/>
      <c r="X40" s="126"/>
      <c r="Y40" s="126"/>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row>
    <row r="41" spans="1:52" ht="13.5" customHeight="1">
      <c r="A41" s="123"/>
      <c r="B41" s="123"/>
      <c r="C41" s="123"/>
      <c r="D41" s="123"/>
      <c r="E41" s="123"/>
      <c r="F41" s="123"/>
      <c r="G41" s="123"/>
      <c r="H41" s="126"/>
      <c r="I41" s="126"/>
      <c r="J41" s="126"/>
      <c r="K41" s="126"/>
      <c r="L41" s="126"/>
      <c r="M41" s="126"/>
      <c r="N41" s="126"/>
      <c r="O41" s="126"/>
      <c r="P41" s="126"/>
      <c r="Q41" s="126"/>
      <c r="R41" s="126"/>
      <c r="S41" s="126"/>
      <c r="T41" s="126"/>
      <c r="U41" s="126"/>
      <c r="V41" s="126"/>
      <c r="W41" s="126"/>
      <c r="X41" s="126"/>
      <c r="Y41" s="126"/>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row>
    <row r="42" spans="1:52" ht="13.5" customHeight="1">
      <c r="A42" s="123"/>
      <c r="B42" s="123"/>
      <c r="C42" s="123"/>
      <c r="D42" s="123"/>
      <c r="E42" s="123"/>
      <c r="F42" s="123"/>
      <c r="G42" s="123"/>
      <c r="H42" s="126"/>
      <c r="I42" s="126"/>
      <c r="J42" s="126"/>
      <c r="K42" s="126"/>
      <c r="L42" s="126"/>
      <c r="M42" s="126"/>
      <c r="N42" s="126"/>
      <c r="O42" s="126"/>
      <c r="P42" s="126"/>
      <c r="Q42" s="126"/>
      <c r="R42" s="126"/>
      <c r="S42" s="126"/>
      <c r="T42" s="126"/>
      <c r="U42" s="126"/>
      <c r="V42" s="126"/>
      <c r="W42" s="126"/>
      <c r="X42" s="126"/>
      <c r="Y42" s="126"/>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row>
    <row r="43" spans="1:52" ht="13.5" customHeight="1">
      <c r="A43" s="123"/>
      <c r="B43" s="123"/>
      <c r="C43" s="123"/>
      <c r="D43" s="123"/>
      <c r="E43" s="123"/>
      <c r="F43" s="123"/>
      <c r="G43" s="123"/>
      <c r="H43" s="126"/>
      <c r="I43" s="126"/>
      <c r="J43" s="126"/>
      <c r="K43" s="126"/>
      <c r="L43" s="126"/>
      <c r="M43" s="126"/>
      <c r="N43" s="126"/>
      <c r="O43" s="126"/>
      <c r="P43" s="126"/>
      <c r="Q43" s="126"/>
      <c r="R43" s="126"/>
      <c r="S43" s="126"/>
      <c r="T43" s="126"/>
      <c r="U43" s="126"/>
      <c r="V43" s="126"/>
      <c r="W43" s="126"/>
      <c r="X43" s="126"/>
      <c r="Y43" s="126"/>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row>
    <row r="44" spans="1:52" ht="13.5" customHeight="1">
      <c r="A44" s="123"/>
      <c r="B44" s="123"/>
      <c r="C44" s="123"/>
      <c r="D44" s="123"/>
      <c r="E44" s="123"/>
      <c r="F44" s="123"/>
      <c r="G44" s="123"/>
      <c r="H44" s="126"/>
      <c r="I44" s="126"/>
      <c r="J44" s="126"/>
      <c r="K44" s="126"/>
      <c r="L44" s="126"/>
      <c r="M44" s="126"/>
      <c r="N44" s="126"/>
      <c r="O44" s="126"/>
      <c r="P44" s="126"/>
      <c r="Q44" s="126"/>
      <c r="R44" s="126"/>
      <c r="S44" s="126"/>
      <c r="T44" s="126"/>
      <c r="U44" s="126"/>
      <c r="V44" s="126"/>
      <c r="W44" s="126"/>
      <c r="X44" s="126"/>
      <c r="Y44" s="126"/>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row>
    <row r="45" spans="1:52" ht="13.5" customHeight="1">
      <c r="A45" s="123"/>
      <c r="B45" s="123"/>
      <c r="C45" s="123"/>
      <c r="D45" s="123"/>
      <c r="E45" s="123"/>
      <c r="F45" s="123"/>
      <c r="G45" s="123"/>
      <c r="H45" s="126"/>
      <c r="I45" s="126"/>
      <c r="J45" s="126"/>
      <c r="K45" s="126"/>
      <c r="L45" s="126"/>
      <c r="M45" s="126"/>
      <c r="N45" s="126"/>
      <c r="O45" s="126"/>
      <c r="P45" s="126"/>
      <c r="Q45" s="126"/>
      <c r="R45" s="126"/>
      <c r="S45" s="126"/>
      <c r="T45" s="126"/>
      <c r="U45" s="126"/>
      <c r="V45" s="126"/>
      <c r="W45" s="126"/>
      <c r="X45" s="126"/>
      <c r="Y45" s="126"/>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row>
    <row r="46" spans="1:52" ht="13.5" customHeight="1">
      <c r="A46" s="123"/>
      <c r="B46" s="123"/>
      <c r="C46" s="123"/>
      <c r="D46" s="123"/>
      <c r="E46" s="123"/>
      <c r="F46" s="123"/>
      <c r="G46" s="123"/>
      <c r="H46" s="126"/>
      <c r="I46" s="126"/>
      <c r="J46" s="126"/>
      <c r="K46" s="126"/>
      <c r="L46" s="126"/>
      <c r="M46" s="126"/>
      <c r="N46" s="126"/>
      <c r="O46" s="126"/>
      <c r="P46" s="126"/>
      <c r="Q46" s="126"/>
      <c r="R46" s="126"/>
      <c r="S46" s="126"/>
      <c r="T46" s="126"/>
      <c r="U46" s="126"/>
      <c r="V46" s="126"/>
      <c r="W46" s="126"/>
      <c r="X46" s="126"/>
      <c r="Y46" s="126"/>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row>
    <row r="47" spans="1:52" ht="13.5" customHeight="1">
      <c r="A47" s="123"/>
      <c r="B47" s="123"/>
      <c r="C47" s="123"/>
      <c r="D47" s="123"/>
      <c r="E47" s="123"/>
      <c r="F47" s="123"/>
      <c r="G47" s="123"/>
      <c r="H47" s="126"/>
      <c r="I47" s="126"/>
      <c r="J47" s="126"/>
      <c r="K47" s="126"/>
      <c r="L47" s="126"/>
      <c r="M47" s="126"/>
      <c r="N47" s="126"/>
      <c r="O47" s="126"/>
      <c r="P47" s="126"/>
      <c r="Q47" s="126"/>
      <c r="R47" s="126"/>
      <c r="S47" s="126"/>
      <c r="T47" s="126"/>
      <c r="U47" s="126"/>
      <c r="V47" s="126"/>
      <c r="W47" s="126"/>
      <c r="X47" s="126"/>
      <c r="Y47" s="126"/>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row>
    <row r="48" spans="1:52" ht="13.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row>
    <row r="49" spans="1:52" ht="13.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row>
    <row r="50" spans="1:52" ht="13.5" customHeight="1">
      <c r="A50" s="126"/>
      <c r="B50" s="126"/>
      <c r="C50" s="126"/>
      <c r="D50" s="126"/>
      <c r="E50" s="126"/>
      <c r="F50" s="126"/>
      <c r="G50" s="126"/>
      <c r="H50" s="126"/>
      <c r="I50" s="126"/>
      <c r="J50" s="126"/>
      <c r="K50" s="126"/>
      <c r="L50" s="126"/>
      <c r="M50" s="123"/>
      <c r="N50" s="126"/>
      <c r="O50" s="126"/>
      <c r="P50" s="126"/>
      <c r="Q50" s="126"/>
      <c r="R50" s="126"/>
      <c r="S50" s="126"/>
      <c r="T50" s="126"/>
      <c r="U50" s="126"/>
      <c r="V50" s="126"/>
      <c r="W50" s="126"/>
      <c r="X50" s="126"/>
      <c r="Y50" s="126"/>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row>
    <row r="51" spans="1:52" ht="13.5" customHeight="1">
      <c r="A51" s="126"/>
      <c r="B51" s="126"/>
      <c r="C51" s="126"/>
      <c r="D51" s="126"/>
      <c r="E51" s="126"/>
      <c r="F51" s="126"/>
      <c r="G51" s="126"/>
      <c r="H51" s="126"/>
      <c r="I51" s="126"/>
      <c r="J51" s="126"/>
      <c r="K51" s="126"/>
      <c r="L51" s="126"/>
      <c r="M51" s="123"/>
      <c r="N51" s="126"/>
      <c r="O51" s="126"/>
      <c r="P51" s="126"/>
      <c r="Q51" s="126"/>
      <c r="R51" s="126"/>
      <c r="S51" s="126"/>
      <c r="T51" s="126"/>
      <c r="U51" s="126"/>
      <c r="V51" s="126"/>
      <c r="W51" s="126"/>
      <c r="X51" s="126"/>
      <c r="Y51" s="126"/>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row>
    <row r="52" spans="1:52" ht="13.5" customHeight="1">
      <c r="A52" s="123"/>
      <c r="B52" s="123"/>
      <c r="C52" s="123"/>
      <c r="D52" s="123"/>
      <c r="E52" s="123"/>
      <c r="F52" s="123"/>
      <c r="G52" s="123"/>
      <c r="H52" s="123"/>
      <c r="I52" s="123"/>
      <c r="J52" s="123"/>
      <c r="K52" s="123"/>
      <c r="L52" s="123"/>
      <c r="M52" s="123"/>
      <c r="N52" s="126"/>
      <c r="O52" s="126"/>
      <c r="P52" s="126"/>
      <c r="Q52" s="126"/>
      <c r="R52" s="126"/>
      <c r="S52" s="126"/>
      <c r="T52" s="126"/>
      <c r="U52" s="126"/>
      <c r="V52" s="126"/>
      <c r="W52" s="126"/>
      <c r="X52" s="126"/>
      <c r="Y52" s="126"/>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row>
    <row r="53" spans="1:52" ht="13.5" customHeight="1">
      <c r="A53" s="123"/>
      <c r="B53" s="123"/>
      <c r="C53" s="123"/>
      <c r="D53" s="123"/>
      <c r="E53" s="123"/>
      <c r="F53" s="123"/>
      <c r="G53" s="123"/>
      <c r="H53" s="123"/>
      <c r="I53" s="123"/>
      <c r="J53" s="123"/>
      <c r="K53" s="123"/>
      <c r="L53" s="123"/>
      <c r="M53" s="123"/>
      <c r="N53" s="126"/>
      <c r="O53" s="126"/>
      <c r="P53" s="126"/>
      <c r="Q53" s="126"/>
      <c r="R53" s="126"/>
      <c r="S53" s="126"/>
      <c r="T53" s="126"/>
      <c r="U53" s="126"/>
      <c r="V53" s="126"/>
      <c r="W53" s="126"/>
      <c r="X53" s="126"/>
      <c r="Y53" s="126"/>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row>
    <row r="54" spans="1:52" ht="13.5" customHeight="1">
      <c r="A54" s="123"/>
      <c r="B54" s="123"/>
      <c r="C54" s="123"/>
      <c r="D54" s="123"/>
      <c r="E54" s="123"/>
      <c r="F54" s="123"/>
      <c r="G54" s="123"/>
      <c r="H54" s="123"/>
      <c r="I54" s="123"/>
      <c r="J54" s="123"/>
      <c r="K54" s="123"/>
      <c r="L54" s="123"/>
      <c r="M54" s="123"/>
      <c r="N54" s="126"/>
      <c r="O54" s="126"/>
      <c r="P54" s="126"/>
      <c r="Q54" s="126"/>
      <c r="R54" s="126"/>
      <c r="S54" s="126"/>
      <c r="T54" s="126"/>
      <c r="U54" s="126"/>
      <c r="V54" s="126"/>
      <c r="W54" s="126"/>
      <c r="X54" s="126"/>
      <c r="Y54" s="126"/>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row>
    <row r="55" spans="1:52" ht="13.5" customHeight="1">
      <c r="A55" s="123"/>
      <c r="B55" s="123"/>
      <c r="C55" s="123"/>
      <c r="D55" s="123"/>
      <c r="E55" s="123"/>
      <c r="F55" s="123"/>
      <c r="G55" s="123"/>
      <c r="H55" s="123"/>
      <c r="I55" s="123"/>
      <c r="J55" s="123"/>
      <c r="K55" s="123"/>
      <c r="L55" s="123"/>
      <c r="M55" s="123"/>
      <c r="N55" s="126"/>
      <c r="O55" s="126"/>
      <c r="P55" s="126"/>
      <c r="Q55" s="126"/>
      <c r="R55" s="126"/>
      <c r="S55" s="126"/>
      <c r="T55" s="126"/>
      <c r="U55" s="126"/>
      <c r="V55" s="126"/>
      <c r="W55" s="126"/>
      <c r="X55" s="126"/>
      <c r="Y55" s="126"/>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row>
    <row r="56" spans="1:52" ht="13.5" customHeight="1">
      <c r="A56" s="123"/>
      <c r="B56" s="123"/>
      <c r="C56" s="123"/>
      <c r="D56" s="123"/>
      <c r="E56" s="123"/>
      <c r="F56" s="123"/>
      <c r="G56" s="123"/>
      <c r="H56" s="123"/>
      <c r="I56" s="123"/>
      <c r="J56" s="123"/>
      <c r="K56" s="123"/>
      <c r="L56" s="123"/>
      <c r="M56" s="123"/>
      <c r="N56" s="126"/>
      <c r="O56" s="126"/>
      <c r="P56" s="126"/>
      <c r="Q56" s="126"/>
      <c r="R56" s="126"/>
      <c r="S56" s="126"/>
      <c r="T56" s="126"/>
      <c r="U56" s="126"/>
      <c r="V56" s="126"/>
      <c r="W56" s="126"/>
      <c r="X56" s="126"/>
      <c r="Y56" s="126"/>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row>
    <row r="57" spans="1:52" ht="13.5" customHeight="1">
      <c r="A57" s="123"/>
      <c r="B57" s="123"/>
      <c r="C57" s="123"/>
      <c r="D57" s="123"/>
      <c r="E57" s="123"/>
      <c r="F57" s="123"/>
      <c r="G57" s="123"/>
      <c r="H57" s="123"/>
      <c r="I57" s="123"/>
      <c r="J57" s="123"/>
      <c r="K57" s="123"/>
      <c r="L57" s="123"/>
      <c r="M57" s="123"/>
      <c r="N57" s="126"/>
      <c r="O57" s="126"/>
      <c r="P57" s="126"/>
      <c r="Q57" s="126"/>
      <c r="R57" s="126"/>
      <c r="S57" s="126"/>
      <c r="T57" s="126"/>
      <c r="U57" s="126"/>
      <c r="V57" s="126"/>
      <c r="W57" s="126"/>
      <c r="X57" s="126"/>
      <c r="Y57" s="126"/>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row>
    <row r="58" spans="1:52" ht="13.5" customHeight="1">
      <c r="A58" s="123"/>
      <c r="B58" s="123"/>
      <c r="C58" s="123"/>
      <c r="D58" s="123"/>
      <c r="E58" s="123"/>
      <c r="F58" s="123"/>
      <c r="G58" s="123"/>
      <c r="H58" s="123"/>
      <c r="I58" s="123"/>
      <c r="J58" s="123"/>
      <c r="K58" s="123"/>
      <c r="L58" s="123"/>
      <c r="M58" s="123"/>
      <c r="N58" s="126"/>
      <c r="O58" s="126"/>
      <c r="P58" s="126"/>
      <c r="Q58" s="126"/>
      <c r="R58" s="126"/>
      <c r="S58" s="126"/>
      <c r="T58" s="126"/>
      <c r="U58" s="126"/>
      <c r="V58" s="126"/>
      <c r="W58" s="126"/>
      <c r="X58" s="126"/>
      <c r="Y58" s="126"/>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row>
    <row r="59" spans="1:52" ht="13.5" customHeight="1">
      <c r="A59" s="123"/>
      <c r="B59" s="123"/>
      <c r="C59" s="123"/>
      <c r="D59" s="123"/>
      <c r="E59" s="123"/>
      <c r="F59" s="123"/>
      <c r="G59" s="123"/>
      <c r="H59" s="123"/>
      <c r="I59" s="123"/>
      <c r="J59" s="123"/>
      <c r="K59" s="123"/>
      <c r="L59" s="123"/>
      <c r="M59" s="123"/>
      <c r="N59" s="126"/>
      <c r="O59" s="126"/>
      <c r="P59" s="126"/>
      <c r="Q59" s="126"/>
      <c r="R59" s="126"/>
      <c r="S59" s="126"/>
      <c r="T59" s="126"/>
      <c r="U59" s="126"/>
      <c r="V59" s="126"/>
      <c r="W59" s="126"/>
      <c r="X59" s="126"/>
      <c r="Y59" s="126"/>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row>
    <row r="60" spans="1:52" ht="13.5" customHeight="1">
      <c r="A60" s="123"/>
      <c r="B60" s="123"/>
      <c r="C60" s="123"/>
      <c r="D60" s="123"/>
      <c r="E60" s="123"/>
      <c r="F60" s="123"/>
      <c r="G60" s="123"/>
      <c r="H60" s="123"/>
      <c r="I60" s="123"/>
      <c r="J60" s="123"/>
      <c r="K60" s="123"/>
      <c r="L60" s="123"/>
      <c r="M60" s="123"/>
      <c r="N60" s="126"/>
      <c r="O60" s="126"/>
      <c r="P60" s="126"/>
      <c r="Q60" s="126"/>
      <c r="R60" s="126"/>
      <c r="S60" s="126"/>
      <c r="T60" s="126"/>
      <c r="U60" s="126"/>
      <c r="V60" s="126"/>
      <c r="W60" s="126"/>
      <c r="X60" s="126"/>
      <c r="Y60" s="126"/>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row>
    <row r="61" spans="1:52" ht="13.5" customHeight="1">
      <c r="A61" s="123"/>
      <c r="B61" s="123"/>
      <c r="C61" s="123"/>
      <c r="D61" s="123"/>
      <c r="E61" s="123"/>
      <c r="F61" s="123"/>
      <c r="G61" s="123"/>
      <c r="H61" s="123"/>
      <c r="I61" s="123"/>
      <c r="J61" s="123"/>
      <c r="K61" s="123"/>
      <c r="L61" s="123"/>
      <c r="M61" s="123"/>
      <c r="N61" s="126"/>
      <c r="O61" s="126"/>
      <c r="P61" s="126"/>
      <c r="Q61" s="126"/>
      <c r="R61" s="126"/>
      <c r="S61" s="126"/>
      <c r="T61" s="126"/>
      <c r="U61" s="126"/>
      <c r="V61" s="126"/>
      <c r="W61" s="126"/>
      <c r="X61" s="126"/>
      <c r="Y61" s="126"/>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row>
    <row r="62" spans="1:52" ht="13.5" customHeight="1">
      <c r="A62" s="123"/>
      <c r="B62" s="123"/>
      <c r="C62" s="123"/>
      <c r="D62" s="123"/>
      <c r="E62" s="123"/>
      <c r="F62" s="123"/>
      <c r="G62" s="123"/>
      <c r="H62" s="123"/>
      <c r="I62" s="123"/>
      <c r="J62" s="123"/>
      <c r="K62" s="123"/>
      <c r="L62" s="123"/>
      <c r="M62" s="123"/>
      <c r="N62" s="126"/>
      <c r="O62" s="126"/>
      <c r="P62" s="126"/>
      <c r="Q62" s="126"/>
      <c r="R62" s="126"/>
      <c r="S62" s="126"/>
      <c r="T62" s="126"/>
      <c r="U62" s="126"/>
      <c r="V62" s="126"/>
      <c r="W62" s="126"/>
      <c r="X62" s="126"/>
      <c r="Y62" s="126"/>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row>
    <row r="63" spans="1:52" ht="13.5" customHeight="1">
      <c r="A63" s="123"/>
      <c r="B63" s="123"/>
      <c r="C63" s="123"/>
      <c r="D63" s="123"/>
      <c r="E63" s="123"/>
      <c r="F63" s="123"/>
      <c r="G63" s="123"/>
      <c r="H63" s="123"/>
      <c r="I63" s="123"/>
      <c r="J63" s="123"/>
      <c r="K63" s="123"/>
      <c r="L63" s="123"/>
      <c r="M63" s="123"/>
      <c r="N63" s="126"/>
      <c r="O63" s="126"/>
      <c r="P63" s="126"/>
      <c r="Q63" s="126"/>
      <c r="R63" s="126"/>
      <c r="S63" s="126"/>
      <c r="T63" s="126"/>
      <c r="U63" s="126"/>
      <c r="V63" s="126"/>
      <c r="W63" s="126"/>
      <c r="X63" s="126"/>
      <c r="Y63" s="126"/>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row>
    <row r="64" spans="1:52" ht="13.5" customHeight="1">
      <c r="A64" s="123"/>
      <c r="B64" s="123"/>
      <c r="C64" s="123"/>
      <c r="D64" s="123"/>
      <c r="E64" s="123"/>
      <c r="F64" s="123"/>
      <c r="G64" s="123"/>
      <c r="H64" s="123"/>
      <c r="I64" s="123"/>
      <c r="J64" s="123"/>
      <c r="K64" s="123"/>
      <c r="L64" s="123"/>
      <c r="M64" s="123"/>
      <c r="N64" s="126"/>
      <c r="O64" s="126"/>
      <c r="P64" s="126"/>
      <c r="Q64" s="126"/>
      <c r="R64" s="126"/>
      <c r="S64" s="126"/>
      <c r="T64" s="126"/>
      <c r="U64" s="126"/>
      <c r="V64" s="126"/>
      <c r="W64" s="126"/>
      <c r="X64" s="126"/>
      <c r="Y64" s="126"/>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row>
    <row r="65" spans="1:52" ht="13.5" customHeight="1">
      <c r="A65" s="123"/>
      <c r="B65" s="123"/>
      <c r="C65" s="123"/>
      <c r="D65" s="123"/>
      <c r="E65" s="123"/>
      <c r="F65" s="123"/>
      <c r="G65" s="123"/>
      <c r="H65" s="123"/>
      <c r="I65" s="123"/>
      <c r="J65" s="123"/>
      <c r="K65" s="123"/>
      <c r="L65" s="123"/>
      <c r="M65" s="123"/>
      <c r="N65" s="126"/>
      <c r="O65" s="126"/>
      <c r="P65" s="126"/>
      <c r="Q65" s="126"/>
      <c r="R65" s="126"/>
      <c r="S65" s="126"/>
      <c r="T65" s="126"/>
      <c r="U65" s="126"/>
      <c r="V65" s="126"/>
      <c r="W65" s="126"/>
      <c r="X65" s="126"/>
      <c r="Y65" s="126"/>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row>
    <row r="66" spans="1:52" ht="13.5" customHeight="1">
      <c r="A66" s="123"/>
      <c r="B66" s="123"/>
      <c r="C66" s="123"/>
      <c r="D66" s="123"/>
      <c r="E66" s="123"/>
      <c r="F66" s="123"/>
      <c r="G66" s="123"/>
      <c r="H66" s="123"/>
      <c r="I66" s="123"/>
      <c r="J66" s="123"/>
      <c r="K66" s="123"/>
      <c r="L66" s="123"/>
      <c r="M66" s="123"/>
      <c r="N66" s="126"/>
      <c r="O66" s="126"/>
      <c r="P66" s="126"/>
      <c r="Q66" s="126"/>
      <c r="R66" s="126"/>
      <c r="S66" s="126"/>
      <c r="T66" s="126"/>
      <c r="U66" s="126"/>
      <c r="V66" s="126"/>
      <c r="W66" s="126"/>
      <c r="X66" s="126"/>
      <c r="Y66" s="126"/>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row>
    <row r="67" spans="1:52" ht="13.5" customHeight="1">
      <c r="A67" s="123"/>
      <c r="B67" s="123"/>
      <c r="C67" s="123"/>
      <c r="D67" s="123"/>
      <c r="E67" s="123"/>
      <c r="F67" s="123"/>
      <c r="G67" s="123"/>
      <c r="H67" s="123"/>
      <c r="I67" s="123"/>
      <c r="J67" s="123"/>
      <c r="K67" s="123"/>
      <c r="L67" s="123"/>
      <c r="M67" s="123"/>
      <c r="N67" s="126"/>
      <c r="O67" s="126"/>
      <c r="P67" s="126"/>
      <c r="Q67" s="126"/>
      <c r="R67" s="126"/>
      <c r="S67" s="126"/>
      <c r="T67" s="126"/>
      <c r="U67" s="126"/>
      <c r="V67" s="126"/>
      <c r="W67" s="126"/>
      <c r="X67" s="126"/>
      <c r="Y67" s="126"/>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row>
    <row r="68" spans="1:52" ht="13.5" customHeight="1">
      <c r="A68" s="123"/>
      <c r="B68" s="123"/>
      <c r="C68" s="123"/>
      <c r="D68" s="123"/>
      <c r="E68" s="123"/>
      <c r="F68" s="123"/>
      <c r="G68" s="123"/>
      <c r="H68" s="123"/>
      <c r="I68" s="123"/>
      <c r="J68" s="123"/>
      <c r="K68" s="123"/>
      <c r="L68" s="123"/>
      <c r="M68" s="123"/>
      <c r="N68" s="126"/>
      <c r="O68" s="126"/>
      <c r="P68" s="126"/>
      <c r="Q68" s="126"/>
      <c r="R68" s="126"/>
      <c r="S68" s="126"/>
      <c r="T68" s="126"/>
      <c r="U68" s="126"/>
      <c r="V68" s="126"/>
      <c r="W68" s="126"/>
      <c r="X68" s="126"/>
      <c r="Y68" s="126"/>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row>
    <row r="69" spans="1:52" ht="13.5" customHeight="1">
      <c r="A69" s="123"/>
      <c r="B69" s="123"/>
      <c r="C69" s="123"/>
      <c r="D69" s="123"/>
      <c r="E69" s="123"/>
      <c r="F69" s="123"/>
      <c r="G69" s="123"/>
      <c r="H69" s="123"/>
      <c r="I69" s="123"/>
      <c r="J69" s="123"/>
      <c r="K69" s="123"/>
      <c r="L69" s="123"/>
      <c r="M69" s="123"/>
      <c r="N69" s="126"/>
      <c r="O69" s="126"/>
      <c r="P69" s="126"/>
      <c r="Q69" s="126"/>
      <c r="R69" s="126"/>
      <c r="S69" s="126"/>
      <c r="T69" s="126"/>
      <c r="U69" s="126"/>
      <c r="V69" s="126"/>
      <c r="W69" s="126"/>
      <c r="X69" s="126"/>
      <c r="Y69" s="126"/>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row>
    <row r="70" spans="1:52" ht="13.5" customHeight="1">
      <c r="A70" s="123"/>
      <c r="B70" s="123"/>
      <c r="C70" s="123"/>
      <c r="D70" s="123"/>
      <c r="E70" s="123"/>
      <c r="F70" s="123"/>
      <c r="G70" s="123"/>
      <c r="H70" s="123"/>
      <c r="I70" s="123"/>
      <c r="J70" s="123"/>
      <c r="K70" s="123"/>
      <c r="L70" s="123"/>
      <c r="M70" s="126"/>
      <c r="N70" s="126"/>
      <c r="O70" s="126"/>
      <c r="P70" s="126"/>
      <c r="Q70" s="126"/>
      <c r="R70" s="126"/>
      <c r="S70" s="126"/>
      <c r="T70" s="126"/>
      <c r="U70" s="126"/>
      <c r="V70" s="126"/>
      <c r="W70" s="126"/>
      <c r="X70" s="126"/>
      <c r="Y70" s="126"/>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row>
    <row r="71" spans="1:52" ht="13.5" customHeight="1">
      <c r="A71" s="123"/>
      <c r="B71" s="123"/>
      <c r="C71" s="123"/>
      <c r="D71" s="123"/>
      <c r="E71" s="123"/>
      <c r="F71" s="123"/>
      <c r="G71" s="123"/>
      <c r="H71" s="123"/>
      <c r="I71" s="123"/>
      <c r="J71" s="123"/>
      <c r="K71" s="123"/>
      <c r="L71" s="123"/>
      <c r="M71" s="126"/>
      <c r="N71" s="126"/>
      <c r="O71" s="126"/>
      <c r="P71" s="126"/>
      <c r="Q71" s="126"/>
      <c r="R71" s="126"/>
      <c r="S71" s="126"/>
      <c r="T71" s="126"/>
      <c r="U71" s="126"/>
      <c r="V71" s="126"/>
      <c r="W71" s="126"/>
      <c r="X71" s="126"/>
      <c r="Y71" s="126"/>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row>
    <row r="72" spans="1:52" ht="13.5" customHeight="1">
      <c r="A72" s="126"/>
      <c r="B72" s="126"/>
      <c r="C72" s="126"/>
      <c r="D72" s="126"/>
      <c r="E72" s="126"/>
      <c r="F72" s="126"/>
      <c r="G72" s="126"/>
      <c r="H72" s="126"/>
      <c r="I72" s="126"/>
      <c r="J72" s="126"/>
      <c r="K72" s="126"/>
      <c r="L72" s="126"/>
      <c r="M72" s="126"/>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row>
    <row r="73" spans="1:52" ht="13.5" customHeight="1">
      <c r="A73" s="126"/>
      <c r="B73" s="126"/>
      <c r="C73" s="126"/>
      <c r="D73" s="126"/>
      <c r="E73" s="126"/>
      <c r="F73" s="126"/>
      <c r="G73" s="126"/>
      <c r="H73" s="126"/>
      <c r="I73" s="126"/>
      <c r="J73" s="126"/>
      <c r="K73" s="126"/>
      <c r="L73" s="126"/>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row>
    <row r="74" spans="1:52" ht="13.5" customHeight="1">
      <c r="A74" s="126"/>
      <c r="B74" s="126"/>
      <c r="C74" s="126"/>
      <c r="D74" s="126"/>
      <c r="E74" s="126"/>
      <c r="F74" s="126"/>
      <c r="G74" s="126"/>
      <c r="H74" s="126"/>
      <c r="I74" s="126"/>
      <c r="J74" s="126"/>
      <c r="K74" s="126"/>
      <c r="L74" s="126"/>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row>
    <row r="75" spans="1:52" ht="13.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row>
  </sheetData>
  <mergeCells count="29">
    <mergeCell ref="H10:I10"/>
    <mergeCell ref="A1:K1"/>
    <mergeCell ref="A3:B3"/>
    <mergeCell ref="A4:B4"/>
    <mergeCell ref="A5:B5"/>
    <mergeCell ref="A6:B6"/>
    <mergeCell ref="A2:C2"/>
    <mergeCell ref="A7:G7"/>
    <mergeCell ref="A8:B8"/>
    <mergeCell ref="A15:B15"/>
    <mergeCell ref="I15:K15"/>
    <mergeCell ref="I16:K16"/>
    <mergeCell ref="H8:K8"/>
    <mergeCell ref="D14:E14"/>
    <mergeCell ref="D16:E16"/>
    <mergeCell ref="D15:E15"/>
    <mergeCell ref="A9:B9"/>
    <mergeCell ref="A10:B10"/>
    <mergeCell ref="H9:I9"/>
    <mergeCell ref="C19:D19"/>
    <mergeCell ref="C20:D20"/>
    <mergeCell ref="V1:AG1"/>
    <mergeCell ref="V2:AG2"/>
    <mergeCell ref="A17:F17"/>
    <mergeCell ref="A16:B16"/>
    <mergeCell ref="H14:K14"/>
    <mergeCell ref="A12:F12"/>
    <mergeCell ref="A13:K13"/>
    <mergeCell ref="A14:B14"/>
  </mergeCells>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13"/>
  <dimension ref="A1:AZ75"/>
  <sheetViews>
    <sheetView workbookViewId="0" topLeftCell="A1">
      <selection activeCell="A1" sqref="A1:K1"/>
    </sheetView>
  </sheetViews>
  <sheetFormatPr defaultColWidth="9.140625" defaultRowHeight="12.75"/>
  <cols>
    <col min="12" max="26" width="9.00390625" style="0" customWidth="1"/>
    <col min="27" max="27" width="10.28125" style="0" bestFit="1" customWidth="1"/>
    <col min="28" max="37" width="9.00390625" style="0" customWidth="1"/>
  </cols>
  <sheetData>
    <row r="1" spans="1:52" ht="13.5" customHeight="1" thickBot="1">
      <c r="A1" s="310" t="s">
        <v>153</v>
      </c>
      <c r="B1" s="310"/>
      <c r="C1" s="310"/>
      <c r="D1" s="310"/>
      <c r="E1" s="310"/>
      <c r="F1" s="310"/>
      <c r="G1" s="310"/>
      <c r="H1" s="310"/>
      <c r="I1" s="310"/>
      <c r="J1" s="310"/>
      <c r="K1" s="310"/>
      <c r="L1" s="150"/>
      <c r="M1" s="150"/>
      <c r="N1" s="150"/>
      <c r="O1" s="150"/>
      <c r="P1" s="150"/>
      <c r="Q1" s="150"/>
      <c r="R1" s="150"/>
      <c r="S1" s="150"/>
      <c r="T1" s="150"/>
      <c r="U1" s="150"/>
      <c r="V1" s="308" t="str">
        <f>'Gains from Trade'!V1</f>
        <v>The table below shows production possibilties and consumption possibilities when Px/Py equals the common opportunity cost.</v>
      </c>
      <c r="W1" s="308"/>
      <c r="X1" s="308"/>
      <c r="Y1" s="308"/>
      <c r="Z1" s="308"/>
      <c r="AA1" s="308"/>
      <c r="AB1" s="308"/>
      <c r="AC1" s="308"/>
      <c r="AD1" s="308"/>
      <c r="AE1" s="308"/>
      <c r="AF1" s="308"/>
      <c r="AG1" s="308"/>
      <c r="AH1" s="150"/>
      <c r="AI1" s="150"/>
      <c r="AJ1" s="150"/>
      <c r="AK1" s="150"/>
      <c r="AL1" s="150"/>
      <c r="AM1" s="150"/>
      <c r="AN1" s="150"/>
      <c r="AO1" s="151" t="s">
        <v>124</v>
      </c>
      <c r="AP1" s="151" t="e">
        <f>$B$4/$B$3^2</f>
        <v>#DIV/0!</v>
      </c>
      <c r="AQ1" s="150"/>
      <c r="AR1" s="150"/>
      <c r="AS1" s="150"/>
      <c r="AT1" s="150"/>
      <c r="AU1" s="150"/>
      <c r="AV1" s="150"/>
      <c r="AW1" s="150"/>
      <c r="AX1" s="150"/>
      <c r="AY1" s="150"/>
      <c r="AZ1" s="150"/>
    </row>
    <row r="2" spans="1:52" ht="13.5" customHeight="1" thickBot="1" thickTop="1">
      <c r="A2" s="150"/>
      <c r="B2" s="150"/>
      <c r="C2" s="150"/>
      <c r="D2" s="150"/>
      <c r="E2" s="150"/>
      <c r="F2" s="150"/>
      <c r="G2" s="150"/>
      <c r="H2" s="150"/>
      <c r="I2" s="150"/>
      <c r="J2" s="150"/>
      <c r="K2" s="150"/>
      <c r="L2" s="150"/>
      <c r="M2" s="150"/>
      <c r="N2" s="150"/>
      <c r="O2" s="150"/>
      <c r="P2" s="150"/>
      <c r="Q2" s="150"/>
      <c r="R2" s="150"/>
      <c r="S2" s="150"/>
      <c r="T2" s="150"/>
      <c r="U2" s="150"/>
      <c r="V2" s="309" t="str">
        <f>'Gains from Trade'!V2</f>
        <v>The graphs on the next sheet show these possibilities.</v>
      </c>
      <c r="W2" s="309"/>
      <c r="X2" s="309"/>
      <c r="Y2" s="309"/>
      <c r="Z2" s="309"/>
      <c r="AA2" s="309"/>
      <c r="AB2" s="309"/>
      <c r="AC2" s="309"/>
      <c r="AD2" s="309"/>
      <c r="AE2" s="309"/>
      <c r="AF2" s="309"/>
      <c r="AG2" s="309"/>
      <c r="AH2" s="150"/>
      <c r="AI2" s="150"/>
      <c r="AJ2" s="150"/>
      <c r="AK2" s="150"/>
      <c r="AL2" s="150"/>
      <c r="AM2" s="150"/>
      <c r="AN2" s="150"/>
      <c r="AO2" s="151" t="s">
        <v>125</v>
      </c>
      <c r="AP2" s="151" t="e">
        <f>$B$6/$B$5^2</f>
        <v>#DIV/0!</v>
      </c>
      <c r="AQ2" s="150"/>
      <c r="AR2" s="150"/>
      <c r="AS2" s="150"/>
      <c r="AT2" s="150"/>
      <c r="AU2" s="150"/>
      <c r="AV2" s="150"/>
      <c r="AW2" s="150"/>
      <c r="AX2" s="150"/>
      <c r="AY2" s="150"/>
      <c r="AZ2" s="150"/>
    </row>
    <row r="3" spans="1:52" ht="13.5" customHeight="1" thickTop="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62" t="str">
        <f>'Gains from Trade'!AA3</f>
        <v>Prop_maxX</v>
      </c>
      <c r="AB3" s="162" t="str">
        <f>'Gains from Trade'!AB3</f>
        <v>X_a</v>
      </c>
      <c r="AC3" s="162" t="str">
        <f>'Gains from Trade'!AC3</f>
        <v>PPC_a</v>
      </c>
      <c r="AD3" s="162" t="str">
        <f>'Gains from Trade'!AD3</f>
        <v>CPC_a</v>
      </c>
      <c r="AE3" s="162" t="str">
        <f>'Gains from Trade'!AE3</f>
        <v>X_b</v>
      </c>
      <c r="AF3" s="162" t="str">
        <f>'Gains from Trade'!AF3</f>
        <v>PPC_b</v>
      </c>
      <c r="AG3" s="162" t="str">
        <f>'Gains from Trade'!AG3</f>
        <v>CPC_b</v>
      </c>
      <c r="AH3" s="150"/>
      <c r="AI3" s="150"/>
      <c r="AJ3" s="150"/>
      <c r="AK3" s="150"/>
      <c r="AL3" s="150"/>
      <c r="AM3" s="150"/>
      <c r="AN3" s="150"/>
      <c r="AO3" s="150"/>
      <c r="AP3" s="150"/>
      <c r="AQ3" s="150"/>
      <c r="AR3" s="150"/>
      <c r="AS3" s="150"/>
      <c r="AT3" s="150"/>
      <c r="AU3" s="150"/>
      <c r="AV3" s="150"/>
      <c r="AW3" s="150"/>
      <c r="AX3" s="150"/>
      <c r="AY3" s="150"/>
      <c r="AZ3" s="150"/>
    </row>
    <row r="4" spans="1:52" ht="13.5"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2">
        <f>'Gains from Trade'!AA4</f>
        <v>0</v>
      </c>
      <c r="AB4" s="152">
        <f>'Gains from Trade'!AB4</f>
        <v>0</v>
      </c>
      <c r="AC4" s="152">
        <f>'Gains from Trade'!AC4</f>
        <v>90</v>
      </c>
      <c r="AD4" s="152">
        <f>'Gains from Trade'!AD4</f>
        <v>171.6326530612245</v>
      </c>
      <c r="AE4" s="152">
        <f>'Gains from Trade'!AE4</f>
        <v>0</v>
      </c>
      <c r="AF4" s="152">
        <f>'Gains from Trade'!AF4</f>
        <v>400</v>
      </c>
      <c r="AG4" s="152">
        <f>'Gains from Trade'!AG4</f>
        <v>604.0816326530612</v>
      </c>
      <c r="AH4" s="150"/>
      <c r="AI4" s="150"/>
      <c r="AJ4" s="150"/>
      <c r="AK4" s="150"/>
      <c r="AL4" s="150"/>
      <c r="AM4" s="150"/>
      <c r="AN4" s="150"/>
      <c r="AO4" s="150"/>
      <c r="AP4" s="150"/>
      <c r="AQ4" s="150"/>
      <c r="AR4" s="150"/>
      <c r="AS4" s="150"/>
      <c r="AT4" s="150"/>
      <c r="AU4" s="150"/>
      <c r="AV4" s="150"/>
      <c r="AW4" s="150"/>
      <c r="AX4" s="150"/>
      <c r="AY4" s="150"/>
      <c r="AZ4" s="150"/>
    </row>
    <row r="5" spans="1:52" ht="13.5" customHeight="1">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2">
        <f>'Gains from Trade'!AA5</f>
        <v>0.05</v>
      </c>
      <c r="AB5" s="152">
        <f>'Gains from Trade'!AB5</f>
        <v>1.5</v>
      </c>
      <c r="AC5" s="152">
        <f>'Gains from Trade'!AC5</f>
        <v>89.775</v>
      </c>
      <c r="AD5" s="152">
        <f>'Gains from Trade'!AD5</f>
        <v>163.0612244897959</v>
      </c>
      <c r="AE5" s="152">
        <f>'Gains from Trade'!AE5</f>
        <v>5</v>
      </c>
      <c r="AF5" s="152">
        <f>'Gains from Trade'!AF5</f>
        <v>399</v>
      </c>
      <c r="AG5" s="152">
        <f>'Gains from Trade'!AG5</f>
        <v>575.5102040816327</v>
      </c>
      <c r="AH5" s="150"/>
      <c r="AI5" s="150"/>
      <c r="AJ5" s="150"/>
      <c r="AK5" s="150"/>
      <c r="AL5" s="150"/>
      <c r="AM5" s="150"/>
      <c r="AN5" s="150"/>
      <c r="AO5" s="150"/>
      <c r="AP5" s="150"/>
      <c r="AQ5" s="150"/>
      <c r="AR5" s="150"/>
      <c r="AS5" s="150"/>
      <c r="AT5" s="150"/>
      <c r="AU5" s="150"/>
      <c r="AV5" s="150"/>
      <c r="AW5" s="150"/>
      <c r="AX5" s="150"/>
      <c r="AY5" s="150"/>
      <c r="AZ5" s="150"/>
    </row>
    <row r="6" spans="1:52" ht="13.5" customHeight="1">
      <c r="A6" s="150"/>
      <c r="B6" s="150"/>
      <c r="C6" s="150"/>
      <c r="D6" s="150"/>
      <c r="E6" s="150"/>
      <c r="F6" s="150"/>
      <c r="G6" s="150"/>
      <c r="H6" s="150"/>
      <c r="I6" s="150"/>
      <c r="J6" s="150"/>
      <c r="K6" s="150"/>
      <c r="L6" s="150"/>
      <c r="M6" s="150"/>
      <c r="N6" s="150"/>
      <c r="O6" s="150"/>
      <c r="P6" s="150"/>
      <c r="Q6" s="150"/>
      <c r="R6" s="150"/>
      <c r="S6" s="150"/>
      <c r="T6" s="150"/>
      <c r="U6" s="150"/>
      <c r="V6" s="153"/>
      <c r="W6" s="153"/>
      <c r="X6" s="153"/>
      <c r="Y6" s="153"/>
      <c r="Z6" s="153"/>
      <c r="AA6" s="152">
        <f>'Gains from Trade'!AA6</f>
        <v>0.1</v>
      </c>
      <c r="AB6" s="152">
        <f>'Gains from Trade'!AB6</f>
        <v>3</v>
      </c>
      <c r="AC6" s="152">
        <f>'Gains from Trade'!AC6</f>
        <v>89.1</v>
      </c>
      <c r="AD6" s="152">
        <f>'Gains from Trade'!AD6</f>
        <v>154.48979591836735</v>
      </c>
      <c r="AE6" s="152">
        <f>'Gains from Trade'!AE6</f>
        <v>10</v>
      </c>
      <c r="AF6" s="152">
        <f>'Gains from Trade'!AF6</f>
        <v>396</v>
      </c>
      <c r="AG6" s="152">
        <f>'Gains from Trade'!AG6</f>
        <v>546.9387755102041</v>
      </c>
      <c r="AH6" s="153"/>
      <c r="AI6" s="153"/>
      <c r="AJ6" s="153"/>
      <c r="AK6" s="153"/>
      <c r="AL6" s="153"/>
      <c r="AM6" s="153"/>
      <c r="AN6" s="150"/>
      <c r="AO6" s="150"/>
      <c r="AP6" s="150"/>
      <c r="AQ6" s="150"/>
      <c r="AR6" s="150"/>
      <c r="AS6" s="150"/>
      <c r="AT6" s="150"/>
      <c r="AU6" s="150"/>
      <c r="AV6" s="150"/>
      <c r="AW6" s="150"/>
      <c r="AX6" s="150"/>
      <c r="AY6" s="150"/>
      <c r="AZ6" s="150"/>
    </row>
    <row r="7" spans="1:52" ht="13.5" customHeight="1">
      <c r="A7" s="150"/>
      <c r="B7" s="150"/>
      <c r="C7" s="150"/>
      <c r="D7" s="150"/>
      <c r="E7" s="150"/>
      <c r="F7" s="150"/>
      <c r="G7" s="150"/>
      <c r="H7" s="150"/>
      <c r="I7" s="150"/>
      <c r="J7" s="150"/>
      <c r="K7" s="150"/>
      <c r="L7" s="150"/>
      <c r="M7" s="150"/>
      <c r="N7" s="150"/>
      <c r="O7" s="150"/>
      <c r="P7" s="150"/>
      <c r="Q7" s="150"/>
      <c r="R7" s="150"/>
      <c r="S7" s="150"/>
      <c r="T7" s="150"/>
      <c r="U7" s="150"/>
      <c r="V7" s="153"/>
      <c r="W7" s="153"/>
      <c r="X7" s="153"/>
      <c r="Y7" s="153"/>
      <c r="Z7" s="153"/>
      <c r="AA7" s="152">
        <f>'Gains from Trade'!AA7</f>
        <v>0.15000000000000002</v>
      </c>
      <c r="AB7" s="152">
        <f>'Gains from Trade'!AB7</f>
        <v>4.500000000000001</v>
      </c>
      <c r="AC7" s="152">
        <f>'Gains from Trade'!AC7</f>
        <v>87.975</v>
      </c>
      <c r="AD7" s="152">
        <f>'Gains from Trade'!AD7</f>
        <v>145.91836734693877</v>
      </c>
      <c r="AE7" s="152">
        <f>'Gains from Trade'!AE7</f>
        <v>15.000000000000002</v>
      </c>
      <c r="AF7" s="152">
        <f>'Gains from Trade'!AF7</f>
        <v>391</v>
      </c>
      <c r="AG7" s="152">
        <f>'Gains from Trade'!AG7</f>
        <v>518.3673469387754</v>
      </c>
      <c r="AH7" s="153"/>
      <c r="AI7" s="153"/>
      <c r="AJ7" s="153"/>
      <c r="AK7" s="153"/>
      <c r="AL7" s="153"/>
      <c r="AM7" s="153"/>
      <c r="AN7" s="150"/>
      <c r="AO7" s="150"/>
      <c r="AP7" s="150"/>
      <c r="AQ7" s="150"/>
      <c r="AR7" s="150"/>
      <c r="AS7" s="150"/>
      <c r="AT7" s="150"/>
      <c r="AU7" s="150"/>
      <c r="AV7" s="150"/>
      <c r="AW7" s="150"/>
      <c r="AX7" s="150"/>
      <c r="AY7" s="150"/>
      <c r="AZ7" s="150"/>
    </row>
    <row r="8" spans="1:52" ht="13.5" customHeight="1">
      <c r="A8" s="150"/>
      <c r="B8" s="150"/>
      <c r="C8" s="150"/>
      <c r="D8" s="150"/>
      <c r="E8" s="150"/>
      <c r="F8" s="150"/>
      <c r="G8" s="150"/>
      <c r="H8" s="150"/>
      <c r="I8" s="150"/>
      <c r="J8" s="150"/>
      <c r="K8" s="150"/>
      <c r="L8" s="150"/>
      <c r="M8" s="150"/>
      <c r="N8" s="150"/>
      <c r="O8" s="150"/>
      <c r="P8" s="150"/>
      <c r="Q8" s="150"/>
      <c r="R8" s="150"/>
      <c r="S8" s="150"/>
      <c r="T8" s="150"/>
      <c r="U8" s="150"/>
      <c r="V8" s="154"/>
      <c r="W8" s="155"/>
      <c r="X8" s="155"/>
      <c r="Y8" s="155"/>
      <c r="Z8" s="155"/>
      <c r="AA8" s="152">
        <f>'Gains from Trade'!AA8</f>
        <v>0.2</v>
      </c>
      <c r="AB8" s="152">
        <f>'Gains from Trade'!AB8</f>
        <v>6</v>
      </c>
      <c r="AC8" s="152">
        <f>'Gains from Trade'!AC8</f>
        <v>86.4</v>
      </c>
      <c r="AD8" s="152">
        <f>'Gains from Trade'!AD8</f>
        <v>137.3469387755102</v>
      </c>
      <c r="AE8" s="152">
        <f>'Gains from Trade'!AE8</f>
        <v>20</v>
      </c>
      <c r="AF8" s="152">
        <f>'Gains from Trade'!AF8</f>
        <v>384</v>
      </c>
      <c r="AG8" s="152">
        <f>'Gains from Trade'!AG8</f>
        <v>489.7959183673469</v>
      </c>
      <c r="AH8" s="150"/>
      <c r="AI8" s="150"/>
      <c r="AJ8" s="150"/>
      <c r="AK8" s="150"/>
      <c r="AL8" s="150"/>
      <c r="AM8" s="150"/>
      <c r="AN8" s="150"/>
      <c r="AO8" s="150"/>
      <c r="AP8" s="150"/>
      <c r="AQ8" s="150"/>
      <c r="AR8" s="150"/>
      <c r="AS8" s="150"/>
      <c r="AT8" s="150"/>
      <c r="AU8" s="150"/>
      <c r="AV8" s="150"/>
      <c r="AW8" s="150"/>
      <c r="AX8" s="150"/>
      <c r="AY8" s="150"/>
      <c r="AZ8" s="150"/>
    </row>
    <row r="9" spans="1:52" ht="13.5" customHeight="1">
      <c r="A9" s="150"/>
      <c r="B9" s="150"/>
      <c r="C9" s="150"/>
      <c r="D9" s="150"/>
      <c r="E9" s="150"/>
      <c r="F9" s="150"/>
      <c r="G9" s="150"/>
      <c r="H9" s="150"/>
      <c r="I9" s="150"/>
      <c r="J9" s="150"/>
      <c r="K9" s="150"/>
      <c r="L9" s="150"/>
      <c r="M9" s="150"/>
      <c r="N9" s="150"/>
      <c r="O9" s="150"/>
      <c r="P9" s="150"/>
      <c r="Q9" s="150"/>
      <c r="R9" s="150"/>
      <c r="S9" s="150"/>
      <c r="T9" s="150"/>
      <c r="U9" s="150"/>
      <c r="V9" s="154"/>
      <c r="W9" s="155"/>
      <c r="X9" s="155"/>
      <c r="Y9" s="155"/>
      <c r="Z9" s="155"/>
      <c r="AA9" s="152">
        <f>'Gains from Trade'!AA9</f>
        <v>0.25</v>
      </c>
      <c r="AB9" s="152">
        <f>'Gains from Trade'!AB9</f>
        <v>7.5</v>
      </c>
      <c r="AC9" s="152">
        <f>'Gains from Trade'!AC9</f>
        <v>84.375</v>
      </c>
      <c r="AD9" s="152">
        <f>'Gains from Trade'!AD9</f>
        <v>128.77551020408163</v>
      </c>
      <c r="AE9" s="152">
        <f>'Gains from Trade'!AE9</f>
        <v>25</v>
      </c>
      <c r="AF9" s="152">
        <f>'Gains from Trade'!AF9</f>
        <v>375</v>
      </c>
      <c r="AG9" s="152">
        <f>'Gains from Trade'!AG9</f>
        <v>461.2244897959183</v>
      </c>
      <c r="AH9" s="150"/>
      <c r="AI9" s="150"/>
      <c r="AJ9" s="150"/>
      <c r="AK9" s="150"/>
      <c r="AL9" s="150"/>
      <c r="AM9" s="150"/>
      <c r="AN9" s="150"/>
      <c r="AO9" s="150"/>
      <c r="AP9" s="150"/>
      <c r="AQ9" s="150"/>
      <c r="AR9" s="150"/>
      <c r="AS9" s="150"/>
      <c r="AT9" s="150"/>
      <c r="AU9" s="150"/>
      <c r="AV9" s="150"/>
      <c r="AW9" s="150"/>
      <c r="AX9" s="150"/>
      <c r="AY9" s="150"/>
      <c r="AZ9" s="150"/>
    </row>
    <row r="10" spans="1:52" ht="13.5" customHeight="1">
      <c r="A10" s="150"/>
      <c r="B10" s="150"/>
      <c r="C10" s="150"/>
      <c r="D10" s="150"/>
      <c r="E10" s="150"/>
      <c r="F10" s="150"/>
      <c r="G10" s="150"/>
      <c r="H10" s="150"/>
      <c r="I10" s="150"/>
      <c r="J10" s="150"/>
      <c r="K10" s="150"/>
      <c r="L10" s="150"/>
      <c r="M10" s="150"/>
      <c r="N10" s="150"/>
      <c r="O10" s="150"/>
      <c r="P10" s="150"/>
      <c r="Q10" s="150"/>
      <c r="R10" s="150"/>
      <c r="S10" s="150"/>
      <c r="T10" s="150"/>
      <c r="U10" s="150"/>
      <c r="V10" s="154"/>
      <c r="W10" s="155"/>
      <c r="X10" s="155"/>
      <c r="Y10" s="155"/>
      <c r="Z10" s="155"/>
      <c r="AA10" s="152">
        <f>'Gains from Trade'!AA10</f>
        <v>0.3</v>
      </c>
      <c r="AB10" s="152">
        <f>'Gains from Trade'!AB10</f>
        <v>9</v>
      </c>
      <c r="AC10" s="152">
        <f>'Gains from Trade'!AC10</f>
        <v>81.9</v>
      </c>
      <c r="AD10" s="152">
        <f>'Gains from Trade'!AD10</f>
        <v>120.20408163265306</v>
      </c>
      <c r="AE10" s="152">
        <f>'Gains from Trade'!AE10</f>
        <v>30</v>
      </c>
      <c r="AF10" s="152">
        <f>'Gains from Trade'!AF10</f>
        <v>364</v>
      </c>
      <c r="AG10" s="152">
        <f>'Gains from Trade'!AG10</f>
        <v>432.65306122448976</v>
      </c>
      <c r="AH10" s="150"/>
      <c r="AI10" s="150"/>
      <c r="AJ10" s="150"/>
      <c r="AK10" s="150"/>
      <c r="AL10" s="150"/>
      <c r="AM10" s="150"/>
      <c r="AN10" s="150"/>
      <c r="AO10" s="150"/>
      <c r="AP10" s="150"/>
      <c r="AQ10" s="150"/>
      <c r="AR10" s="150"/>
      <c r="AS10" s="150"/>
      <c r="AT10" s="150"/>
      <c r="AU10" s="150"/>
      <c r="AV10" s="150"/>
      <c r="AW10" s="150"/>
      <c r="AX10" s="150"/>
      <c r="AY10" s="150"/>
      <c r="AZ10" s="150"/>
    </row>
    <row r="11" spans="1:52" ht="13.5" customHeight="1">
      <c r="A11" s="150"/>
      <c r="B11" s="150"/>
      <c r="C11" s="150"/>
      <c r="D11" s="150"/>
      <c r="E11" s="150"/>
      <c r="F11" s="150"/>
      <c r="G11" s="150"/>
      <c r="H11" s="150"/>
      <c r="I11" s="150"/>
      <c r="J11" s="150"/>
      <c r="K11" s="150"/>
      <c r="L11" s="150"/>
      <c r="M11" s="150"/>
      <c r="N11" s="150"/>
      <c r="O11" s="150"/>
      <c r="P11" s="150"/>
      <c r="Q11" s="150"/>
      <c r="R11" s="150"/>
      <c r="S11" s="150"/>
      <c r="T11" s="150"/>
      <c r="U11" s="150"/>
      <c r="V11" s="154"/>
      <c r="W11" s="154"/>
      <c r="X11" s="156"/>
      <c r="Y11" s="154"/>
      <c r="Z11" s="154"/>
      <c r="AA11" s="157">
        <f>'Gains from Trade'!AA11</f>
        <v>0.35</v>
      </c>
      <c r="AB11" s="152">
        <f>'Gains from Trade'!AB11</f>
        <v>10.5</v>
      </c>
      <c r="AC11" s="152">
        <f>'Gains from Trade'!AC11</f>
        <v>78.975</v>
      </c>
      <c r="AD11" s="152">
        <f>'Gains from Trade'!AD11</f>
        <v>111.63265306122449</v>
      </c>
      <c r="AE11" s="152">
        <f>'Gains from Trade'!AE11</f>
        <v>35</v>
      </c>
      <c r="AF11" s="152">
        <f>'Gains from Trade'!AF11</f>
        <v>351</v>
      </c>
      <c r="AG11" s="152">
        <f>'Gains from Trade'!AG11</f>
        <v>404.0816326530612</v>
      </c>
      <c r="AH11" s="150"/>
      <c r="AI11" s="150"/>
      <c r="AJ11" s="150"/>
      <c r="AK11" s="150"/>
      <c r="AL11" s="150"/>
      <c r="AM11" s="150"/>
      <c r="AN11" s="150"/>
      <c r="AO11" s="150"/>
      <c r="AP11" s="150"/>
      <c r="AQ11" s="150"/>
      <c r="AR11" s="150"/>
      <c r="AS11" s="150"/>
      <c r="AT11" s="150"/>
      <c r="AU11" s="150"/>
      <c r="AV11" s="150"/>
      <c r="AW11" s="150"/>
      <c r="AX11" s="150"/>
      <c r="AY11" s="150"/>
      <c r="AZ11" s="150"/>
    </row>
    <row r="12" spans="1:52" ht="13.5" customHeight="1">
      <c r="A12" s="150"/>
      <c r="B12" s="150"/>
      <c r="C12" s="150"/>
      <c r="D12" s="150"/>
      <c r="E12" s="150"/>
      <c r="F12" s="150"/>
      <c r="G12" s="150"/>
      <c r="H12" s="150"/>
      <c r="I12" s="150"/>
      <c r="J12" s="150"/>
      <c r="K12" s="150"/>
      <c r="L12" s="150"/>
      <c r="M12" s="150"/>
      <c r="N12" s="150"/>
      <c r="O12" s="150"/>
      <c r="P12" s="150"/>
      <c r="Q12" s="150"/>
      <c r="R12" s="150"/>
      <c r="S12" s="150"/>
      <c r="T12" s="150"/>
      <c r="U12" s="150"/>
      <c r="V12" s="154"/>
      <c r="W12" s="154"/>
      <c r="X12" s="156"/>
      <c r="Y12" s="154"/>
      <c r="Z12" s="154"/>
      <c r="AA12" s="157">
        <f>'Gains from Trade'!AA12</f>
        <v>0.39999999999999997</v>
      </c>
      <c r="AB12" s="152">
        <f>'Gains from Trade'!AB12</f>
        <v>11.999999999999998</v>
      </c>
      <c r="AC12" s="152">
        <f>'Gains from Trade'!AC12</f>
        <v>75.60000000000001</v>
      </c>
      <c r="AD12" s="152">
        <f>'Gains from Trade'!AD12</f>
        <v>103.06122448979592</v>
      </c>
      <c r="AE12" s="152">
        <f>'Gains from Trade'!AE12</f>
        <v>40</v>
      </c>
      <c r="AF12" s="152">
        <f>'Gains from Trade'!AF12</f>
        <v>336</v>
      </c>
      <c r="AG12" s="152">
        <f>'Gains from Trade'!AG12</f>
        <v>375.51020408163265</v>
      </c>
      <c r="AH12" s="158"/>
      <c r="AI12" s="158"/>
      <c r="AJ12" s="158"/>
      <c r="AK12" s="158"/>
      <c r="AL12" s="158"/>
      <c r="AM12" s="158"/>
      <c r="AN12" s="158"/>
      <c r="AO12" s="158"/>
      <c r="AP12" s="158"/>
      <c r="AQ12" s="158"/>
      <c r="AR12" s="158"/>
      <c r="AS12" s="158"/>
      <c r="AT12" s="158"/>
      <c r="AU12" s="158"/>
      <c r="AV12" s="158"/>
      <c r="AW12" s="158"/>
      <c r="AX12" s="150"/>
      <c r="AY12" s="150"/>
      <c r="AZ12" s="150"/>
    </row>
    <row r="13" spans="1:52" ht="13.5" customHeight="1">
      <c r="A13" s="150"/>
      <c r="B13" s="150"/>
      <c r="C13" s="150"/>
      <c r="D13" s="150"/>
      <c r="E13" s="150"/>
      <c r="F13" s="150"/>
      <c r="G13" s="150"/>
      <c r="H13" s="150"/>
      <c r="I13" s="150"/>
      <c r="J13" s="150"/>
      <c r="K13" s="150"/>
      <c r="L13" s="150"/>
      <c r="M13" s="150"/>
      <c r="N13" s="150"/>
      <c r="O13" s="150"/>
      <c r="P13" s="150"/>
      <c r="Q13" s="150"/>
      <c r="R13" s="150"/>
      <c r="S13" s="150"/>
      <c r="T13" s="150"/>
      <c r="U13" s="150"/>
      <c r="V13" s="154"/>
      <c r="W13" s="154"/>
      <c r="X13" s="156"/>
      <c r="Y13" s="154"/>
      <c r="Z13" s="154"/>
      <c r="AA13" s="157">
        <f>'Gains from Trade'!AA13</f>
        <v>0.44999999999999996</v>
      </c>
      <c r="AB13" s="152">
        <f>'Gains from Trade'!AB13</f>
        <v>13.499999999999998</v>
      </c>
      <c r="AC13" s="152">
        <f>'Gains from Trade'!AC13</f>
        <v>71.775</v>
      </c>
      <c r="AD13" s="152">
        <f>'Gains from Trade'!AD13</f>
        <v>94.48979591836735</v>
      </c>
      <c r="AE13" s="152">
        <f>'Gains from Trade'!AE13</f>
        <v>44.99999999999999</v>
      </c>
      <c r="AF13" s="152">
        <f>'Gains from Trade'!AF13</f>
        <v>319</v>
      </c>
      <c r="AG13" s="152">
        <f>'Gains from Trade'!AG13</f>
        <v>346.9387755102041</v>
      </c>
      <c r="AH13" s="158"/>
      <c r="AI13" s="158"/>
      <c r="AJ13" s="158"/>
      <c r="AK13" s="158"/>
      <c r="AL13" s="158"/>
      <c r="AM13" s="158"/>
      <c r="AN13" s="158"/>
      <c r="AO13" s="158"/>
      <c r="AP13" s="158"/>
      <c r="AQ13" s="158"/>
      <c r="AR13" s="158"/>
      <c r="AS13" s="158"/>
      <c r="AT13" s="158"/>
      <c r="AU13" s="158"/>
      <c r="AV13" s="158"/>
      <c r="AW13" s="158"/>
      <c r="AX13" s="150"/>
      <c r="AY13" s="150"/>
      <c r="AZ13" s="150"/>
    </row>
    <row r="14" spans="1:52" ht="13.5" customHeight="1">
      <c r="A14" s="150"/>
      <c r="B14" s="150"/>
      <c r="C14" s="150"/>
      <c r="D14" s="150"/>
      <c r="E14" s="150"/>
      <c r="F14" s="150"/>
      <c r="G14" s="150"/>
      <c r="H14" s="150"/>
      <c r="I14" s="150"/>
      <c r="J14" s="150"/>
      <c r="K14" s="150"/>
      <c r="L14" s="150"/>
      <c r="M14" s="150"/>
      <c r="N14" s="150"/>
      <c r="O14" s="150"/>
      <c r="P14" s="150"/>
      <c r="Q14" s="150"/>
      <c r="R14" s="150"/>
      <c r="S14" s="150"/>
      <c r="T14" s="150"/>
      <c r="U14" s="150"/>
      <c r="V14" s="154"/>
      <c r="W14" s="154"/>
      <c r="X14" s="156"/>
      <c r="Y14" s="154"/>
      <c r="Z14" s="154"/>
      <c r="AA14" s="157">
        <f>'Gains from Trade'!AA14</f>
        <v>0.49999999999999994</v>
      </c>
      <c r="AB14" s="152">
        <f>'Gains from Trade'!AB14</f>
        <v>14.999999999999998</v>
      </c>
      <c r="AC14" s="152">
        <f>'Gains from Trade'!AC14</f>
        <v>67.5</v>
      </c>
      <c r="AD14" s="152">
        <f>'Gains from Trade'!AD14</f>
        <v>85.91836734693878</v>
      </c>
      <c r="AE14" s="152">
        <f>'Gains from Trade'!AE14</f>
        <v>49.99999999999999</v>
      </c>
      <c r="AF14" s="152">
        <f>'Gains from Trade'!AF14</f>
        <v>300</v>
      </c>
      <c r="AG14" s="152">
        <f>'Gains from Trade'!AG14</f>
        <v>318.36734693877554</v>
      </c>
      <c r="AH14" s="158"/>
      <c r="AI14" s="158"/>
      <c r="AJ14" s="158"/>
      <c r="AK14" s="158"/>
      <c r="AL14" s="158"/>
      <c r="AM14" s="158"/>
      <c r="AN14" s="158"/>
      <c r="AO14" s="158"/>
      <c r="AP14" s="158"/>
      <c r="AQ14" s="158"/>
      <c r="AR14" s="158"/>
      <c r="AS14" s="158"/>
      <c r="AT14" s="158"/>
      <c r="AU14" s="158"/>
      <c r="AV14" s="158"/>
      <c r="AW14" s="158"/>
      <c r="AX14" s="150"/>
      <c r="AY14" s="150"/>
      <c r="AZ14" s="150"/>
    </row>
    <row r="15" spans="1:52" ht="13.5" customHeight="1">
      <c r="A15" s="150"/>
      <c r="B15" s="150"/>
      <c r="C15" s="150"/>
      <c r="D15" s="150"/>
      <c r="E15" s="150"/>
      <c r="F15" s="150"/>
      <c r="G15" s="150"/>
      <c r="H15" s="150"/>
      <c r="I15" s="150"/>
      <c r="J15" s="150"/>
      <c r="K15" s="150"/>
      <c r="L15" s="150"/>
      <c r="M15" s="150"/>
      <c r="N15" s="150"/>
      <c r="O15" s="150"/>
      <c r="P15" s="150"/>
      <c r="Q15" s="150"/>
      <c r="R15" s="150"/>
      <c r="S15" s="150"/>
      <c r="T15" s="150"/>
      <c r="U15" s="150"/>
      <c r="V15" s="154"/>
      <c r="W15" s="154"/>
      <c r="X15" s="156"/>
      <c r="Y15" s="154"/>
      <c r="Z15" s="154"/>
      <c r="AA15" s="157">
        <f>'Gains from Trade'!AA15</f>
        <v>0.5499999999999999</v>
      </c>
      <c r="AB15" s="152">
        <f>'Gains from Trade'!AB15</f>
        <v>16.499999999999996</v>
      </c>
      <c r="AC15" s="152">
        <f>'Gains from Trade'!AC15</f>
        <v>62.775000000000006</v>
      </c>
      <c r="AD15" s="152">
        <f>'Gains from Trade'!AD15</f>
        <v>77.34693877551022</v>
      </c>
      <c r="AE15" s="152">
        <f>'Gains from Trade'!AE15</f>
        <v>54.99999999999999</v>
      </c>
      <c r="AF15" s="152">
        <f>'Gains from Trade'!AF15</f>
        <v>279</v>
      </c>
      <c r="AG15" s="152">
        <f>'Gains from Trade'!AG15</f>
        <v>289.7959183673469</v>
      </c>
      <c r="AH15" s="154"/>
      <c r="AI15" s="154"/>
      <c r="AJ15" s="154"/>
      <c r="AK15" s="154"/>
      <c r="AL15" s="154"/>
      <c r="AM15" s="154"/>
      <c r="AN15" s="154"/>
      <c r="AO15" s="154"/>
      <c r="AP15" s="154"/>
      <c r="AQ15" s="154"/>
      <c r="AR15" s="154"/>
      <c r="AS15" s="154"/>
      <c r="AT15" s="154"/>
      <c r="AU15" s="154"/>
      <c r="AV15" s="154"/>
      <c r="AW15" s="154"/>
      <c r="AX15" s="150"/>
      <c r="AY15" s="150"/>
      <c r="AZ15" s="150"/>
    </row>
    <row r="16" spans="1:52" ht="13.5" customHeight="1">
      <c r="A16" s="150"/>
      <c r="B16" s="150"/>
      <c r="C16" s="150"/>
      <c r="D16" s="150"/>
      <c r="E16" s="150"/>
      <c r="F16" s="150"/>
      <c r="G16" s="150"/>
      <c r="H16" s="150"/>
      <c r="I16" s="150"/>
      <c r="J16" s="150"/>
      <c r="K16" s="150"/>
      <c r="L16" s="150"/>
      <c r="M16" s="150"/>
      <c r="N16" s="150"/>
      <c r="O16" s="150"/>
      <c r="P16" s="150"/>
      <c r="Q16" s="150"/>
      <c r="R16" s="150"/>
      <c r="S16" s="150"/>
      <c r="T16" s="150"/>
      <c r="U16" s="150"/>
      <c r="V16" s="154"/>
      <c r="W16" s="154"/>
      <c r="X16" s="156"/>
      <c r="Y16" s="154"/>
      <c r="Z16" s="154"/>
      <c r="AA16" s="157">
        <f>'Gains from Trade'!AA16</f>
        <v>0.6</v>
      </c>
      <c r="AB16" s="152">
        <f>'Gains from Trade'!AB16</f>
        <v>18</v>
      </c>
      <c r="AC16" s="152">
        <f>'Gains from Trade'!AC16</f>
        <v>57.6</v>
      </c>
      <c r="AD16" s="152">
        <f>'Gains from Trade'!AD16</f>
        <v>68.77551020408163</v>
      </c>
      <c r="AE16" s="152">
        <f>'Gains from Trade'!AE16</f>
        <v>60</v>
      </c>
      <c r="AF16" s="152">
        <f>'Gains from Trade'!AF16</f>
        <v>256</v>
      </c>
      <c r="AG16" s="152">
        <f>'Gains from Trade'!AG16</f>
        <v>261.2244897959183</v>
      </c>
      <c r="AH16" s="154"/>
      <c r="AI16" s="154"/>
      <c r="AJ16" s="154"/>
      <c r="AK16" s="154"/>
      <c r="AL16" s="154"/>
      <c r="AM16" s="154"/>
      <c r="AN16" s="154"/>
      <c r="AO16" s="154"/>
      <c r="AP16" s="154"/>
      <c r="AQ16" s="154"/>
      <c r="AR16" s="154"/>
      <c r="AS16" s="154"/>
      <c r="AT16" s="154"/>
      <c r="AU16" s="154"/>
      <c r="AV16" s="154"/>
      <c r="AW16" s="154"/>
      <c r="AX16" s="150"/>
      <c r="AY16" s="150"/>
      <c r="AZ16" s="150"/>
    </row>
    <row r="17" spans="1:52" ht="13.5" customHeight="1">
      <c r="A17" s="150"/>
      <c r="B17" s="150"/>
      <c r="C17" s="150"/>
      <c r="D17" s="150"/>
      <c r="E17" s="150"/>
      <c r="F17" s="150"/>
      <c r="G17" s="150"/>
      <c r="H17" s="150"/>
      <c r="I17" s="150"/>
      <c r="J17" s="150"/>
      <c r="K17" s="150"/>
      <c r="L17" s="150"/>
      <c r="M17" s="150"/>
      <c r="N17" s="150"/>
      <c r="O17" s="150"/>
      <c r="P17" s="150"/>
      <c r="Q17" s="150"/>
      <c r="R17" s="150"/>
      <c r="S17" s="150"/>
      <c r="T17" s="150"/>
      <c r="U17" s="150"/>
      <c r="V17" s="154"/>
      <c r="W17" s="154"/>
      <c r="X17" s="156"/>
      <c r="Y17" s="154"/>
      <c r="Z17" s="154"/>
      <c r="AA17" s="157">
        <f>'Gains from Trade'!AA17</f>
        <v>0.65</v>
      </c>
      <c r="AB17" s="152">
        <f>'Gains from Trade'!AB17</f>
        <v>19.5</v>
      </c>
      <c r="AC17" s="152">
        <f>'Gains from Trade'!AC17</f>
        <v>51.975</v>
      </c>
      <c r="AD17" s="152">
        <f>'Gains from Trade'!AD17</f>
        <v>60.20408163265306</v>
      </c>
      <c r="AE17" s="152">
        <f>'Gains from Trade'!AE17</f>
        <v>65</v>
      </c>
      <c r="AF17" s="152">
        <f>'Gains from Trade'!AF17</f>
        <v>231</v>
      </c>
      <c r="AG17" s="152">
        <f>'Gains from Trade'!AG17</f>
        <v>232.65306122448976</v>
      </c>
      <c r="AH17" s="154"/>
      <c r="AI17" s="154"/>
      <c r="AJ17" s="154"/>
      <c r="AK17" s="154"/>
      <c r="AL17" s="154"/>
      <c r="AM17" s="154"/>
      <c r="AN17" s="154"/>
      <c r="AO17" s="154"/>
      <c r="AP17" s="154"/>
      <c r="AQ17" s="154"/>
      <c r="AR17" s="154"/>
      <c r="AS17" s="154"/>
      <c r="AT17" s="154"/>
      <c r="AU17" s="154"/>
      <c r="AV17" s="154"/>
      <c r="AW17" s="154"/>
      <c r="AX17" s="150"/>
      <c r="AY17" s="150"/>
      <c r="AZ17" s="150"/>
    </row>
    <row r="18" spans="1:52" ht="13.5" customHeight="1">
      <c r="A18" s="150"/>
      <c r="B18" s="150"/>
      <c r="C18" s="150"/>
      <c r="D18" s="150"/>
      <c r="E18" s="150"/>
      <c r="F18" s="150"/>
      <c r="G18" s="150"/>
      <c r="H18" s="150"/>
      <c r="I18" s="150"/>
      <c r="J18" s="150"/>
      <c r="K18" s="150"/>
      <c r="L18" s="150"/>
      <c r="M18" s="150"/>
      <c r="N18" s="150"/>
      <c r="O18" s="150"/>
      <c r="P18" s="150"/>
      <c r="Q18" s="150"/>
      <c r="R18" s="150"/>
      <c r="S18" s="150"/>
      <c r="T18" s="150"/>
      <c r="U18" s="150"/>
      <c r="V18" s="154"/>
      <c r="W18" s="154"/>
      <c r="X18" s="156"/>
      <c r="Y18" s="154"/>
      <c r="Z18" s="154"/>
      <c r="AA18" s="157">
        <f>'Gains from Trade'!AA18</f>
        <v>0.7000000000000001</v>
      </c>
      <c r="AB18" s="152">
        <f>'Gains from Trade'!AB18</f>
        <v>21.000000000000004</v>
      </c>
      <c r="AC18" s="152">
        <f>'Gains from Trade'!AC18</f>
        <v>45.89999999999998</v>
      </c>
      <c r="AD18" s="152">
        <f>'Gains from Trade'!AD18</f>
        <v>51.63265306122446</v>
      </c>
      <c r="AE18" s="152">
        <f>'Gains from Trade'!AE18</f>
        <v>70</v>
      </c>
      <c r="AF18" s="152">
        <f>'Gains from Trade'!AF18</f>
        <v>204</v>
      </c>
      <c r="AG18" s="152">
        <f>'Gains from Trade'!AG18</f>
        <v>204.0816326530612</v>
      </c>
      <c r="AH18" s="154"/>
      <c r="AI18" s="154"/>
      <c r="AJ18" s="154"/>
      <c r="AK18" s="154"/>
      <c r="AL18" s="154"/>
      <c r="AM18" s="154"/>
      <c r="AN18" s="154"/>
      <c r="AO18" s="154"/>
      <c r="AP18" s="154"/>
      <c r="AQ18" s="154"/>
      <c r="AR18" s="154"/>
      <c r="AS18" s="154"/>
      <c r="AT18" s="154"/>
      <c r="AU18" s="154"/>
      <c r="AV18" s="154"/>
      <c r="AW18" s="154"/>
      <c r="AX18" s="150"/>
      <c r="AY18" s="150"/>
      <c r="AZ18" s="150"/>
    </row>
    <row r="19" spans="1:52" ht="13.5" customHeight="1">
      <c r="A19" s="150"/>
      <c r="B19" s="150"/>
      <c r="C19" s="150"/>
      <c r="D19" s="150"/>
      <c r="E19" s="150"/>
      <c r="F19" s="150"/>
      <c r="G19" s="150"/>
      <c r="H19" s="150"/>
      <c r="I19" s="150"/>
      <c r="J19" s="150"/>
      <c r="K19" s="150"/>
      <c r="L19" s="150"/>
      <c r="M19" s="150"/>
      <c r="N19" s="150"/>
      <c r="O19" s="150"/>
      <c r="P19" s="150"/>
      <c r="Q19" s="150"/>
      <c r="R19" s="150"/>
      <c r="S19" s="150"/>
      <c r="T19" s="150"/>
      <c r="U19" s="150"/>
      <c r="V19" s="154"/>
      <c r="W19" s="154"/>
      <c r="X19" s="156"/>
      <c r="Y19" s="154"/>
      <c r="Z19" s="154"/>
      <c r="AA19" s="157">
        <f>'Gains from Trade'!AA19</f>
        <v>0.7500000000000001</v>
      </c>
      <c r="AB19" s="152">
        <f>'Gains from Trade'!AB19</f>
        <v>22.500000000000004</v>
      </c>
      <c r="AC19" s="152">
        <f>'Gains from Trade'!AC19</f>
        <v>39.37499999999998</v>
      </c>
      <c r="AD19" s="152">
        <f>'Gains from Trade'!AD19</f>
        <v>43.061224489795904</v>
      </c>
      <c r="AE19" s="152">
        <f>'Gains from Trade'!AE19</f>
        <v>75.00000000000001</v>
      </c>
      <c r="AF19" s="152">
        <f>'Gains from Trade'!AF19</f>
        <v>174.99999999999991</v>
      </c>
      <c r="AG19" s="152">
        <f>'Gains from Trade'!AG19</f>
        <v>175.51020408163254</v>
      </c>
      <c r="AH19" s="154"/>
      <c r="AI19" s="154"/>
      <c r="AJ19" s="154"/>
      <c r="AK19" s="154"/>
      <c r="AL19" s="154"/>
      <c r="AM19" s="154"/>
      <c r="AN19" s="154"/>
      <c r="AO19" s="154"/>
      <c r="AP19" s="154"/>
      <c r="AQ19" s="154"/>
      <c r="AR19" s="154"/>
      <c r="AS19" s="154"/>
      <c r="AT19" s="154"/>
      <c r="AU19" s="154"/>
      <c r="AV19" s="154"/>
      <c r="AW19" s="154"/>
      <c r="AX19" s="150"/>
      <c r="AY19" s="150"/>
      <c r="AZ19" s="150"/>
    </row>
    <row r="20" spans="1:52" ht="13.5" customHeight="1">
      <c r="A20" s="150"/>
      <c r="B20" s="150"/>
      <c r="C20" s="150"/>
      <c r="D20" s="150"/>
      <c r="E20" s="150"/>
      <c r="F20" s="150"/>
      <c r="G20" s="150"/>
      <c r="H20" s="150"/>
      <c r="I20" s="150"/>
      <c r="J20" s="150"/>
      <c r="K20" s="150"/>
      <c r="L20" s="150"/>
      <c r="M20" s="150"/>
      <c r="N20" s="150"/>
      <c r="O20" s="150"/>
      <c r="P20" s="150"/>
      <c r="Q20" s="150"/>
      <c r="R20" s="150"/>
      <c r="S20" s="150"/>
      <c r="T20" s="150"/>
      <c r="U20" s="150"/>
      <c r="V20" s="154"/>
      <c r="W20" s="154"/>
      <c r="X20" s="156"/>
      <c r="Y20" s="154"/>
      <c r="Z20" s="154"/>
      <c r="AA20" s="157">
        <f>'Gains from Trade'!AA20</f>
        <v>0.8000000000000002</v>
      </c>
      <c r="AB20" s="152">
        <f>'Gains from Trade'!AB20</f>
        <v>24.000000000000004</v>
      </c>
      <c r="AC20" s="152">
        <f>'Gains from Trade'!AC20</f>
        <v>32.39999999999998</v>
      </c>
      <c r="AD20" s="152">
        <f>'Gains from Trade'!AD20</f>
        <v>34.48979591836732</v>
      </c>
      <c r="AE20" s="152">
        <f>'Gains from Trade'!AE20</f>
        <v>80.00000000000001</v>
      </c>
      <c r="AF20" s="152">
        <f>'Gains from Trade'!AF20</f>
        <v>143.99999999999994</v>
      </c>
      <c r="AG20" s="152">
        <f>'Gains from Trade'!AG20</f>
        <v>146.93877551020398</v>
      </c>
      <c r="AH20" s="154"/>
      <c r="AI20" s="154"/>
      <c r="AJ20" s="154"/>
      <c r="AK20" s="154"/>
      <c r="AL20" s="154"/>
      <c r="AM20" s="154"/>
      <c r="AN20" s="154"/>
      <c r="AO20" s="154"/>
      <c r="AP20" s="154"/>
      <c r="AQ20" s="154"/>
      <c r="AR20" s="154"/>
      <c r="AS20" s="154"/>
      <c r="AT20" s="154"/>
      <c r="AU20" s="154"/>
      <c r="AV20" s="154"/>
      <c r="AW20" s="154"/>
      <c r="AX20" s="150"/>
      <c r="AY20" s="150"/>
      <c r="AZ20" s="150"/>
    </row>
    <row r="21" spans="1:52" ht="13.5" customHeight="1">
      <c r="A21" s="150"/>
      <c r="B21" s="150"/>
      <c r="C21" s="150"/>
      <c r="D21" s="150"/>
      <c r="E21" s="150"/>
      <c r="F21" s="150"/>
      <c r="G21" s="150"/>
      <c r="H21" s="150"/>
      <c r="I21" s="150"/>
      <c r="J21" s="150"/>
      <c r="K21" s="150"/>
      <c r="L21" s="150"/>
      <c r="M21" s="150"/>
      <c r="N21" s="150"/>
      <c r="O21" s="150"/>
      <c r="P21" s="150"/>
      <c r="Q21" s="150"/>
      <c r="R21" s="150"/>
      <c r="S21" s="150"/>
      <c r="T21" s="150"/>
      <c r="U21" s="150"/>
      <c r="V21" s="154"/>
      <c r="W21" s="154"/>
      <c r="X21" s="156"/>
      <c r="Y21" s="154"/>
      <c r="Z21" s="154"/>
      <c r="AA21" s="157">
        <f>'Gains from Trade'!AA21</f>
        <v>0.8500000000000002</v>
      </c>
      <c r="AB21" s="152">
        <f>'Gains from Trade'!AB21</f>
        <v>25.500000000000007</v>
      </c>
      <c r="AC21" s="152">
        <f>'Gains from Trade'!AC21</f>
        <v>24.974999999999966</v>
      </c>
      <c r="AD21" s="152">
        <f>'Gains from Trade'!AD21</f>
        <v>25.918367346938737</v>
      </c>
      <c r="AE21" s="152">
        <f>'Gains from Trade'!AE21</f>
        <v>85.00000000000001</v>
      </c>
      <c r="AF21" s="152">
        <f>'Gains from Trade'!AF21</f>
        <v>110.99999999999989</v>
      </c>
      <c r="AG21" s="152">
        <f>'Gains from Trade'!AG21</f>
        <v>118.36734693877543</v>
      </c>
      <c r="AH21" s="154"/>
      <c r="AI21" s="154"/>
      <c r="AJ21" s="154"/>
      <c r="AK21" s="154"/>
      <c r="AL21" s="154"/>
      <c r="AM21" s="154"/>
      <c r="AN21" s="154"/>
      <c r="AO21" s="154"/>
      <c r="AP21" s="154"/>
      <c r="AQ21" s="154"/>
      <c r="AR21" s="154"/>
      <c r="AS21" s="154"/>
      <c r="AT21" s="154"/>
      <c r="AU21" s="154"/>
      <c r="AV21" s="154"/>
      <c r="AW21" s="154"/>
      <c r="AX21" s="150"/>
      <c r="AY21" s="150"/>
      <c r="AZ21" s="150"/>
    </row>
    <row r="22" spans="1:52" ht="13.5" customHeight="1">
      <c r="A22" s="150"/>
      <c r="B22" s="150"/>
      <c r="C22" s="150"/>
      <c r="D22" s="150"/>
      <c r="E22" s="150"/>
      <c r="F22" s="150"/>
      <c r="G22" s="150"/>
      <c r="H22" s="150"/>
      <c r="I22" s="150"/>
      <c r="J22" s="150"/>
      <c r="K22" s="150"/>
      <c r="L22" s="150"/>
      <c r="M22" s="150"/>
      <c r="N22" s="150"/>
      <c r="O22" s="150"/>
      <c r="P22" s="150"/>
      <c r="Q22" s="150"/>
      <c r="R22" s="150"/>
      <c r="S22" s="150"/>
      <c r="T22" s="150"/>
      <c r="U22" s="150"/>
      <c r="V22" s="154"/>
      <c r="W22" s="154"/>
      <c r="X22" s="156"/>
      <c r="Y22" s="154"/>
      <c r="Z22" s="154"/>
      <c r="AA22" s="157">
        <f>'Gains from Trade'!AA22</f>
        <v>0.9000000000000002</v>
      </c>
      <c r="AB22" s="152">
        <f>'Gains from Trade'!AB22</f>
        <v>27.000000000000007</v>
      </c>
      <c r="AC22" s="152">
        <f>'Gains from Trade'!AC22</f>
        <v>17.099999999999966</v>
      </c>
      <c r="AD22" s="152">
        <f>'Gains from Trade'!AD22</f>
        <v>17.346938775510154</v>
      </c>
      <c r="AE22" s="152">
        <f>'Gains from Trade'!AE22</f>
        <v>90.00000000000003</v>
      </c>
      <c r="AF22" s="152">
        <f>'Gains from Trade'!AF22</f>
        <v>75.99999999999977</v>
      </c>
      <c r="AG22" s="152">
        <f>'Gains from Trade'!AG22</f>
        <v>89.79591836734676</v>
      </c>
      <c r="AH22" s="154"/>
      <c r="AI22" s="154"/>
      <c r="AJ22" s="154"/>
      <c r="AK22" s="154"/>
      <c r="AL22" s="154"/>
      <c r="AM22" s="154"/>
      <c r="AN22" s="154"/>
      <c r="AO22" s="154"/>
      <c r="AP22" s="154"/>
      <c r="AQ22" s="154"/>
      <c r="AR22" s="154"/>
      <c r="AS22" s="154"/>
      <c r="AT22" s="154"/>
      <c r="AU22" s="154"/>
      <c r="AV22" s="154"/>
      <c r="AW22" s="154"/>
      <c r="AX22" s="150"/>
      <c r="AY22" s="150"/>
      <c r="AZ22" s="150"/>
    </row>
    <row r="23" spans="1:52" ht="13.5" customHeight="1">
      <c r="A23" s="150"/>
      <c r="B23" s="150"/>
      <c r="C23" s="150"/>
      <c r="D23" s="150"/>
      <c r="E23" s="150"/>
      <c r="F23" s="150"/>
      <c r="G23" s="150"/>
      <c r="H23" s="150"/>
      <c r="I23" s="150"/>
      <c r="J23" s="150"/>
      <c r="K23" s="150"/>
      <c r="L23" s="150"/>
      <c r="M23" s="150"/>
      <c r="N23" s="150"/>
      <c r="O23" s="150"/>
      <c r="P23" s="150"/>
      <c r="Q23" s="150"/>
      <c r="R23" s="150"/>
      <c r="S23" s="150"/>
      <c r="T23" s="150"/>
      <c r="U23" s="150"/>
      <c r="V23" s="154"/>
      <c r="W23" s="154"/>
      <c r="X23" s="156"/>
      <c r="Y23" s="154"/>
      <c r="Z23" s="154"/>
      <c r="AA23" s="157">
        <f>'Gains from Trade'!AA23</f>
        <v>0.9500000000000003</v>
      </c>
      <c r="AB23" s="152">
        <f>'Gains from Trade'!AB23</f>
        <v>28.500000000000007</v>
      </c>
      <c r="AC23" s="152">
        <f>'Gains from Trade'!AC23</f>
        <v>8.774999999999949</v>
      </c>
      <c r="AD23" s="152">
        <f>'Gains from Trade'!AD23</f>
        <v>8.775510204081598</v>
      </c>
      <c r="AE23" s="152">
        <f>'Gains from Trade'!AE23</f>
        <v>95.00000000000003</v>
      </c>
      <c r="AF23" s="152">
        <f>'Gains from Trade'!AF23</f>
        <v>38.99999999999977</v>
      </c>
      <c r="AG23" s="152">
        <f>'Gains from Trade'!AG23</f>
        <v>61.2244897959182</v>
      </c>
      <c r="AH23" s="154"/>
      <c r="AI23" s="154"/>
      <c r="AJ23" s="154"/>
      <c r="AK23" s="154"/>
      <c r="AL23" s="154"/>
      <c r="AM23" s="154"/>
      <c r="AN23" s="154"/>
      <c r="AO23" s="154"/>
      <c r="AP23" s="154"/>
      <c r="AQ23" s="154"/>
      <c r="AR23" s="154"/>
      <c r="AS23" s="154"/>
      <c r="AT23" s="154"/>
      <c r="AU23" s="154"/>
      <c r="AV23" s="154"/>
      <c r="AW23" s="154"/>
      <c r="AX23" s="150"/>
      <c r="AY23" s="150"/>
      <c r="AZ23" s="150"/>
    </row>
    <row r="24" spans="1:52" ht="13.5" customHeight="1">
      <c r="A24" s="150"/>
      <c r="B24" s="150"/>
      <c r="C24" s="150"/>
      <c r="D24" s="150"/>
      <c r="E24" s="150"/>
      <c r="F24" s="150"/>
      <c r="G24" s="150"/>
      <c r="H24" s="150"/>
      <c r="I24" s="150"/>
      <c r="J24" s="150"/>
      <c r="K24" s="150"/>
      <c r="L24" s="150"/>
      <c r="M24" s="150"/>
      <c r="N24" s="150"/>
      <c r="O24" s="150"/>
      <c r="P24" s="150"/>
      <c r="Q24" s="150"/>
      <c r="R24" s="150"/>
      <c r="S24" s="150"/>
      <c r="T24" s="150"/>
      <c r="U24" s="150"/>
      <c r="V24" s="154"/>
      <c r="W24" s="154"/>
      <c r="X24" s="156"/>
      <c r="Y24" s="154"/>
      <c r="Z24" s="154"/>
      <c r="AA24" s="157">
        <f>'Gains from Trade'!AA24</f>
        <v>1.0000000000000002</v>
      </c>
      <c r="AB24" s="152">
        <f>'Gains from Trade'!AB24</f>
        <v>30.000000000000007</v>
      </c>
      <c r="AC24" s="152">
        <f>'Gains from Trade'!AC24</f>
        <v>0</v>
      </c>
      <c r="AD24" s="152">
        <f>'Gains from Trade'!AD24</f>
        <v>0.20408163265301482</v>
      </c>
      <c r="AE24" s="152">
        <f>'Gains from Trade'!AE24</f>
        <v>100.00000000000003</v>
      </c>
      <c r="AF24" s="152">
        <f>'Gains from Trade'!AF24</f>
        <v>0</v>
      </c>
      <c r="AG24" s="152">
        <f>'Gains from Trade'!AG24</f>
        <v>32.65306122448965</v>
      </c>
      <c r="AH24" s="154"/>
      <c r="AI24" s="154"/>
      <c r="AJ24" s="154"/>
      <c r="AK24" s="154"/>
      <c r="AL24" s="154"/>
      <c r="AM24" s="154"/>
      <c r="AN24" s="154"/>
      <c r="AO24" s="154"/>
      <c r="AP24" s="154"/>
      <c r="AQ24" s="154"/>
      <c r="AR24" s="154"/>
      <c r="AS24" s="154"/>
      <c r="AT24" s="154"/>
      <c r="AU24" s="154"/>
      <c r="AV24" s="154"/>
      <c r="AW24" s="154"/>
      <c r="AX24" s="150"/>
      <c r="AY24" s="150"/>
      <c r="AZ24" s="150"/>
    </row>
    <row r="25" spans="1:52" ht="13.5"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4"/>
      <c r="AB25" s="154"/>
      <c r="AC25" s="156"/>
      <c r="AD25" s="154"/>
      <c r="AE25" s="154"/>
      <c r="AF25" s="156"/>
      <c r="AG25" s="154"/>
      <c r="AH25" s="158"/>
      <c r="AI25" s="158"/>
      <c r="AJ25" s="158"/>
      <c r="AK25" s="154" t="s">
        <v>130</v>
      </c>
      <c r="AL25" s="154"/>
      <c r="AM25" s="154"/>
      <c r="AN25" s="154"/>
      <c r="AO25" s="154"/>
      <c r="AP25" s="154"/>
      <c r="AQ25" s="154"/>
      <c r="AR25" s="154"/>
      <c r="AS25" s="154"/>
      <c r="AT25" s="154"/>
      <c r="AU25" s="154"/>
      <c r="AV25" s="154"/>
      <c r="AW25" s="154"/>
      <c r="AX25" s="150"/>
      <c r="AY25" s="150"/>
      <c r="AZ25" s="150"/>
    </row>
    <row r="26" spans="1:52" ht="13.5" customHeight="1">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4"/>
      <c r="AB26" s="154"/>
      <c r="AC26" s="156"/>
      <c r="AD26" s="154"/>
      <c r="AE26" s="154"/>
      <c r="AF26" s="156"/>
      <c r="AG26" s="154"/>
      <c r="AH26" s="158"/>
      <c r="AI26" s="158"/>
      <c r="AJ26" s="158"/>
      <c r="AK26" s="154"/>
      <c r="AL26" s="154"/>
      <c r="AM26" s="154"/>
      <c r="AN26" s="154"/>
      <c r="AO26" s="154"/>
      <c r="AP26" s="154"/>
      <c r="AQ26" s="154"/>
      <c r="AR26" s="154"/>
      <c r="AS26" s="154"/>
      <c r="AT26" s="154"/>
      <c r="AU26" s="154"/>
      <c r="AV26" s="154"/>
      <c r="AW26" s="154"/>
      <c r="AX26" s="150"/>
      <c r="AY26" s="150"/>
      <c r="AZ26" s="150"/>
    </row>
    <row r="27" spans="1:52" ht="13.5" customHeight="1">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4"/>
      <c r="AB27" s="154"/>
      <c r="AC27" s="156"/>
      <c r="AD27" s="154"/>
      <c r="AE27" s="154"/>
      <c r="AF27" s="156"/>
      <c r="AG27" s="154"/>
      <c r="AH27" s="150"/>
      <c r="AI27" s="150"/>
      <c r="AJ27" s="150"/>
      <c r="AK27" s="154"/>
      <c r="AL27" s="154"/>
      <c r="AM27" s="154"/>
      <c r="AN27" s="154"/>
      <c r="AO27" s="154"/>
      <c r="AP27" s="154"/>
      <c r="AQ27" s="154"/>
      <c r="AR27" s="154"/>
      <c r="AS27" s="154"/>
      <c r="AT27" s="154"/>
      <c r="AU27" s="154"/>
      <c r="AV27" s="154"/>
      <c r="AW27" s="154"/>
      <c r="AX27" s="150"/>
      <c r="AY27" s="150"/>
      <c r="AZ27" s="150"/>
    </row>
    <row r="28" spans="1:52" ht="13.5" customHeight="1">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4"/>
      <c r="AB28" s="154"/>
      <c r="AC28" s="156"/>
      <c r="AD28" s="154"/>
      <c r="AE28" s="154"/>
      <c r="AF28" s="156"/>
      <c r="AG28" s="154"/>
      <c r="AH28" s="150"/>
      <c r="AI28" s="150"/>
      <c r="AJ28" s="150"/>
      <c r="AK28" s="154"/>
      <c r="AL28" s="154"/>
      <c r="AM28" s="154"/>
      <c r="AN28" s="154"/>
      <c r="AO28" s="154"/>
      <c r="AP28" s="154"/>
      <c r="AQ28" s="154"/>
      <c r="AR28" s="154"/>
      <c r="AS28" s="154"/>
      <c r="AT28" s="154"/>
      <c r="AU28" s="154"/>
      <c r="AV28" s="154"/>
      <c r="AW28" s="154"/>
      <c r="AX28" s="150"/>
      <c r="AY28" s="150"/>
      <c r="AZ28" s="150"/>
    </row>
    <row r="29" spans="1:52" ht="13.5"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4"/>
      <c r="AB29" s="154"/>
      <c r="AC29" s="156"/>
      <c r="AD29" s="154"/>
      <c r="AE29" s="154"/>
      <c r="AF29" s="156"/>
      <c r="AG29" s="154"/>
      <c r="AH29" s="150"/>
      <c r="AI29" s="150"/>
      <c r="AJ29" s="150"/>
      <c r="AK29" s="154"/>
      <c r="AL29" s="154"/>
      <c r="AM29" s="154"/>
      <c r="AN29" s="154"/>
      <c r="AO29" s="154"/>
      <c r="AP29" s="154"/>
      <c r="AQ29" s="154"/>
      <c r="AR29" s="154"/>
      <c r="AS29" s="154"/>
      <c r="AT29" s="154"/>
      <c r="AU29" s="154"/>
      <c r="AV29" s="154"/>
      <c r="AW29" s="154"/>
      <c r="AX29" s="150"/>
      <c r="AY29" s="150"/>
      <c r="AZ29" s="150"/>
    </row>
    <row r="30" spans="1:52" ht="13.5" customHeight="1">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4"/>
      <c r="AB30" s="154"/>
      <c r="AC30" s="156"/>
      <c r="AD30" s="154"/>
      <c r="AE30" s="154"/>
      <c r="AF30" s="156"/>
      <c r="AG30" s="154"/>
      <c r="AH30" s="150"/>
      <c r="AI30" s="150"/>
      <c r="AJ30" s="150"/>
      <c r="AK30" s="154"/>
      <c r="AL30" s="154"/>
      <c r="AM30" s="154"/>
      <c r="AN30" s="154"/>
      <c r="AO30" s="154"/>
      <c r="AP30" s="154"/>
      <c r="AQ30" s="154"/>
      <c r="AR30" s="154"/>
      <c r="AS30" s="154"/>
      <c r="AT30" s="154"/>
      <c r="AU30" s="154"/>
      <c r="AV30" s="154"/>
      <c r="AW30" s="154"/>
      <c r="AX30" s="150"/>
      <c r="AY30" s="150"/>
      <c r="AZ30" s="150"/>
    </row>
    <row r="31" spans="1:52" ht="13.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4"/>
      <c r="AB31" s="154"/>
      <c r="AC31" s="156"/>
      <c r="AD31" s="154"/>
      <c r="AE31" s="154"/>
      <c r="AF31" s="156"/>
      <c r="AG31" s="154"/>
      <c r="AH31" s="150"/>
      <c r="AI31" s="150"/>
      <c r="AJ31" s="150"/>
      <c r="AK31" s="154"/>
      <c r="AL31" s="154"/>
      <c r="AM31" s="154"/>
      <c r="AN31" s="154"/>
      <c r="AO31" s="154"/>
      <c r="AP31" s="154"/>
      <c r="AQ31" s="154"/>
      <c r="AR31" s="154"/>
      <c r="AS31" s="154"/>
      <c r="AT31" s="154"/>
      <c r="AU31" s="154"/>
      <c r="AV31" s="154"/>
      <c r="AW31" s="154"/>
      <c r="AX31" s="150"/>
      <c r="AY31" s="150"/>
      <c r="AZ31" s="150"/>
    </row>
    <row r="32" spans="1:52" ht="13.5" customHeigh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4"/>
      <c r="AM32" s="154"/>
      <c r="AN32" s="154"/>
      <c r="AO32" s="154"/>
      <c r="AP32" s="154"/>
      <c r="AQ32" s="154"/>
      <c r="AR32" s="154"/>
      <c r="AS32" s="154"/>
      <c r="AT32" s="154"/>
      <c r="AU32" s="154"/>
      <c r="AV32" s="154"/>
      <c r="AW32" s="154"/>
      <c r="AX32" s="150"/>
      <c r="AY32" s="150"/>
      <c r="AZ32" s="150"/>
    </row>
    <row r="33" spans="1:52" ht="13.5" customHeigh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4"/>
      <c r="AM33" s="154"/>
      <c r="AN33" s="154"/>
      <c r="AO33" s="154"/>
      <c r="AP33" s="154"/>
      <c r="AQ33" s="154"/>
      <c r="AR33" s="154"/>
      <c r="AS33" s="154"/>
      <c r="AT33" s="154"/>
      <c r="AU33" s="154"/>
      <c r="AV33" s="154"/>
      <c r="AW33" s="154"/>
      <c r="AX33" s="150"/>
      <c r="AY33" s="150"/>
      <c r="AZ33" s="150"/>
    </row>
    <row r="34" spans="1:52" ht="13.5"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4"/>
      <c r="AM34" s="154"/>
      <c r="AN34" s="154"/>
      <c r="AO34" s="154"/>
      <c r="AP34" s="154"/>
      <c r="AQ34" s="154"/>
      <c r="AR34" s="154"/>
      <c r="AS34" s="154"/>
      <c r="AT34" s="154"/>
      <c r="AU34" s="154"/>
      <c r="AV34" s="154"/>
      <c r="AW34" s="154"/>
      <c r="AX34" s="150"/>
      <c r="AY34" s="150"/>
      <c r="AZ34" s="150"/>
    </row>
    <row r="35" spans="1:52" ht="13.5"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row>
    <row r="36" spans="1:52" ht="13.5" customHeight="1">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row>
    <row r="37" spans="1:52" ht="13.5" customHeight="1">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row>
    <row r="38" spans="1:52" ht="13.5" customHeight="1">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row>
    <row r="39" spans="1:52" ht="13.5" customHeight="1">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row>
    <row r="40" spans="1:52" ht="13.5" customHeight="1">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row>
    <row r="41" spans="1:52" ht="13.5" customHeight="1">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row>
    <row r="42" spans="1:52" ht="13.5" customHeight="1">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row>
    <row r="43" spans="1:52" ht="13.5" customHeight="1">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row>
    <row r="44" spans="1:52" ht="13.5" customHeight="1">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row>
    <row r="45" spans="1:52" ht="13.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row>
    <row r="46" spans="1:52" ht="13.5" customHeight="1">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row>
    <row r="47" spans="1:52" ht="13.5" customHeight="1">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row>
    <row r="48" spans="1:52" ht="13.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row>
    <row r="49" spans="1:52" ht="13.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row>
    <row r="50" spans="1:52" ht="13.5" customHeight="1">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row>
    <row r="51" spans="1:52" ht="13.5" customHeight="1">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row>
    <row r="52" spans="1:52" ht="13.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row>
    <row r="53" spans="1:52" ht="13.5" customHeigh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row>
    <row r="54" spans="1:52" ht="13.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row>
    <row r="55" spans="1:52" ht="13.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row>
    <row r="56" spans="1:52" ht="13.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row>
    <row r="57" spans="1:52" ht="13.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row>
    <row r="58" spans="1:52" ht="13.5" customHeight="1">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row>
    <row r="59" spans="1:52" ht="13.5" customHeight="1">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row>
    <row r="60" spans="1:52" ht="13.5" customHeight="1">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row>
    <row r="61" spans="1:52" ht="13.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row>
    <row r="62" spans="1:52" ht="13.5" customHeight="1">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row>
    <row r="63" spans="1:52" ht="13.5" customHeight="1">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row>
    <row r="64" spans="1:52" ht="13.5" customHeight="1">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row>
    <row r="65" spans="1:52" ht="13.5" customHeight="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row>
    <row r="66" spans="1:52" ht="13.5" customHeight="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row>
    <row r="67" spans="1:52" ht="13.5" customHeight="1">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row>
    <row r="68" spans="1:52" ht="13.5" customHeight="1">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row>
    <row r="69" spans="1:52" ht="13.5"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row>
    <row r="70" spans="1:52" ht="13.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row>
    <row r="71" spans="1:52" ht="13.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row>
    <row r="72" spans="1:52" ht="13.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row>
    <row r="73" spans="1:52" ht="13.5" customHeight="1">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row>
    <row r="74" spans="1:52" ht="13.5" customHeight="1">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row>
    <row r="75" spans="1:52" ht="13.5" customHeight="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row>
  </sheetData>
  <mergeCells count="3">
    <mergeCell ref="V1:AG1"/>
    <mergeCell ref="V2:AG2"/>
    <mergeCell ref="A1:K1"/>
  </mergeCells>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Sheet15"/>
  <dimension ref="A1:AZ75"/>
  <sheetViews>
    <sheetView workbookViewId="0" topLeftCell="A1">
      <selection activeCell="A1" sqref="A1"/>
    </sheetView>
  </sheetViews>
  <sheetFormatPr defaultColWidth="9.140625" defaultRowHeight="12.75"/>
  <cols>
    <col min="24" max="24" width="5.7109375" style="0" customWidth="1"/>
    <col min="25" max="25" width="8.00390625" style="0" customWidth="1"/>
    <col min="26" max="26" width="7.57421875" style="0" bestFit="1" customWidth="1"/>
    <col min="27" max="33" width="5.7109375" style="0" customWidth="1"/>
    <col min="34" max="39" width="6.7109375" style="0" customWidth="1"/>
  </cols>
  <sheetData>
    <row r="1" spans="1:52" ht="13.5" customHeight="1">
      <c r="A1" s="163"/>
      <c r="B1" s="163"/>
      <c r="C1" s="163"/>
      <c r="D1" s="163"/>
      <c r="E1" s="163"/>
      <c r="F1" s="163"/>
      <c r="G1" s="163"/>
      <c r="H1" s="163"/>
      <c r="I1" s="163"/>
      <c r="J1" s="163"/>
      <c r="K1" s="163"/>
      <c r="L1" s="163"/>
      <c r="M1" s="163"/>
      <c r="N1" s="163"/>
      <c r="O1" s="163"/>
      <c r="P1" s="164"/>
      <c r="Q1" s="164"/>
      <c r="R1" s="164"/>
      <c r="S1" s="164"/>
      <c r="T1" s="164"/>
      <c r="U1" s="164"/>
      <c r="V1" s="164"/>
      <c r="W1" s="164"/>
      <c r="X1" s="165" t="s">
        <v>156</v>
      </c>
      <c r="Y1" s="165" t="s">
        <v>157</v>
      </c>
      <c r="Z1" s="165" t="s">
        <v>4</v>
      </c>
      <c r="AA1" s="165" t="s">
        <v>0</v>
      </c>
      <c r="AB1" s="165" t="s">
        <v>158</v>
      </c>
      <c r="AC1" s="165" t="s">
        <v>159</v>
      </c>
      <c r="AD1" s="165" t="s">
        <v>160</v>
      </c>
      <c r="AE1" s="165" t="s">
        <v>161</v>
      </c>
      <c r="AF1" s="165" t="s">
        <v>162</v>
      </c>
      <c r="AG1" s="165" t="s">
        <v>163</v>
      </c>
      <c r="AH1" s="165" t="s">
        <v>164</v>
      </c>
      <c r="AI1" s="165" t="s">
        <v>165</v>
      </c>
      <c r="AJ1" s="165" t="s">
        <v>166</v>
      </c>
      <c r="AK1" s="165" t="s">
        <v>167</v>
      </c>
      <c r="AL1" s="165" t="s">
        <v>168</v>
      </c>
      <c r="AM1" s="165" t="s">
        <v>169</v>
      </c>
      <c r="AN1" s="163"/>
      <c r="AO1" s="163"/>
      <c r="AP1" s="163"/>
      <c r="AQ1" s="163" t="s">
        <v>181</v>
      </c>
      <c r="AR1" s="163">
        <f>$C$14/$C$13^2</f>
        <v>0.1111111111111111</v>
      </c>
      <c r="AS1" s="163"/>
      <c r="AT1" s="163"/>
      <c r="AU1" s="163"/>
      <c r="AV1" s="163"/>
      <c r="AW1" s="163"/>
      <c r="AX1" s="163"/>
      <c r="AY1" s="163"/>
      <c r="AZ1" s="163"/>
    </row>
    <row r="2" spans="1:52" ht="13.5" customHeight="1">
      <c r="A2" s="163"/>
      <c r="B2" s="163"/>
      <c r="C2" s="163"/>
      <c r="D2" s="163"/>
      <c r="E2" s="166"/>
      <c r="F2" s="166"/>
      <c r="G2" s="166"/>
      <c r="H2" s="166"/>
      <c r="I2" s="166"/>
      <c r="J2" s="166"/>
      <c r="K2" s="166"/>
      <c r="L2" s="166"/>
      <c r="M2" s="166"/>
      <c r="N2" s="166"/>
      <c r="O2" s="166"/>
      <c r="P2" s="166"/>
      <c r="Q2" s="166"/>
      <c r="R2" s="166"/>
      <c r="S2" s="166"/>
      <c r="T2" s="166"/>
      <c r="U2" s="166"/>
      <c r="V2" s="166"/>
      <c r="W2" s="166"/>
      <c r="X2" s="167" t="s">
        <v>170</v>
      </c>
      <c r="Y2" s="167">
        <f aca="true" t="shared" si="0" ref="Y2:Y12">2*$AR$1*AA2</f>
        <v>0</v>
      </c>
      <c r="Z2" s="167">
        <v>0</v>
      </c>
      <c r="AA2" s="167">
        <f aca="true" t="shared" si="1" ref="AA2:AA12">Z2*$C$13</f>
        <v>0</v>
      </c>
      <c r="AB2" s="167">
        <f aca="true" t="shared" si="2" ref="AB2:AB12">$C$14-$AR$1*AA2^2</f>
        <v>100</v>
      </c>
      <c r="AC2" s="167">
        <f aca="true" t="shared" si="3" ref="AC2:AC12">$AA$2*$C$15+$AB$2-$C$15*AA2</f>
        <v>100</v>
      </c>
      <c r="AD2" s="167">
        <f aca="true" t="shared" si="4" ref="AD2:AD12">$AA$3*$C$15+$AB$3-$C$15*AA2</f>
        <v>102</v>
      </c>
      <c r="AE2" s="167">
        <f aca="true" t="shared" si="5" ref="AE2:AE12">$AA$4*$C$15+$AB$4-$C$15*AA2</f>
        <v>102</v>
      </c>
      <c r="AF2" s="167">
        <f aca="true" t="shared" si="6" ref="AF2:AF12">$AA$5*$C$15+$AB$5-$C$15*AA2</f>
        <v>100</v>
      </c>
      <c r="AG2" s="167">
        <f aca="true" t="shared" si="7" ref="AG2:AG12">$AA$6*$C$15+$AB$6-$C$15*$AA2</f>
        <v>96</v>
      </c>
      <c r="AH2" s="167">
        <f aca="true" t="shared" si="8" ref="AH2:AH12">$AA$7*$C$15+$AB$7-$C$15*$AA2</f>
        <v>90</v>
      </c>
      <c r="AI2" s="167">
        <f aca="true" t="shared" si="9" ref="AI2:AI12">$AA$8*$C$15+$AB$8-$C$15*$AA2</f>
        <v>82</v>
      </c>
      <c r="AJ2" s="167">
        <f aca="true" t="shared" si="10" ref="AJ2:AJ12">$AA$9*$C$15+$AB$9-$C$15*$AA2</f>
        <v>72</v>
      </c>
      <c r="AK2" s="167">
        <f aca="true" t="shared" si="11" ref="AK2:AK12">$AA$10*$C$15+$AB$10-$C$15*$AA2</f>
        <v>60.00000000000003</v>
      </c>
      <c r="AL2" s="167">
        <f aca="true" t="shared" si="12" ref="AL2:AL12">$AA$11*$C$15+$AB$11-$C$15*$AA2</f>
        <v>46.00000000000003</v>
      </c>
      <c r="AM2" s="167">
        <f aca="true" t="shared" si="13" ref="AM2:AM12">$AA$12*$C$15+$AB$12-$C$15*$AA2</f>
        <v>29.999999999999996</v>
      </c>
      <c r="AN2" s="163"/>
      <c r="AO2" s="163"/>
      <c r="AP2" s="163"/>
      <c r="AQ2" s="163"/>
      <c r="AR2" s="163"/>
      <c r="AS2" s="163"/>
      <c r="AT2" s="163"/>
      <c r="AU2" s="163"/>
      <c r="AV2" s="163"/>
      <c r="AW2" s="163"/>
      <c r="AX2" s="163"/>
      <c r="AY2" s="163"/>
      <c r="AZ2" s="163"/>
    </row>
    <row r="3" spans="1:52" ht="13.5" customHeight="1">
      <c r="A3" s="163"/>
      <c r="B3" s="163"/>
      <c r="C3" s="163"/>
      <c r="D3" s="163"/>
      <c r="E3" s="168"/>
      <c r="F3" s="168"/>
      <c r="G3" s="168"/>
      <c r="H3" s="168"/>
      <c r="I3" s="168"/>
      <c r="J3" s="168"/>
      <c r="K3" s="168"/>
      <c r="L3" s="168"/>
      <c r="M3" s="168"/>
      <c r="N3" s="168"/>
      <c r="O3" s="168"/>
      <c r="P3" s="168"/>
      <c r="Q3" s="168"/>
      <c r="R3" s="168"/>
      <c r="S3" s="168"/>
      <c r="T3" s="168"/>
      <c r="U3" s="168"/>
      <c r="V3" s="168"/>
      <c r="W3" s="168"/>
      <c r="X3" s="167" t="s">
        <v>171</v>
      </c>
      <c r="Y3" s="167">
        <f t="shared" si="0"/>
        <v>0.6666666666666666</v>
      </c>
      <c r="Z3" s="167">
        <f aca="true" t="shared" si="14" ref="Z3:Z12">Z2+0.1</f>
        <v>0.1</v>
      </c>
      <c r="AA3" s="167">
        <f t="shared" si="1"/>
        <v>3</v>
      </c>
      <c r="AB3" s="167">
        <f t="shared" si="2"/>
        <v>99</v>
      </c>
      <c r="AC3" s="167">
        <f t="shared" si="3"/>
        <v>97</v>
      </c>
      <c r="AD3" s="167">
        <f t="shared" si="4"/>
        <v>99</v>
      </c>
      <c r="AE3" s="167">
        <f t="shared" si="5"/>
        <v>99</v>
      </c>
      <c r="AF3" s="167">
        <f t="shared" si="6"/>
        <v>97</v>
      </c>
      <c r="AG3" s="167">
        <f t="shared" si="7"/>
        <v>93</v>
      </c>
      <c r="AH3" s="167">
        <f t="shared" si="8"/>
        <v>87</v>
      </c>
      <c r="AI3" s="167">
        <f t="shared" si="9"/>
        <v>79</v>
      </c>
      <c r="AJ3" s="167">
        <f t="shared" si="10"/>
        <v>69</v>
      </c>
      <c r="AK3" s="167">
        <f t="shared" si="11"/>
        <v>57.00000000000003</v>
      </c>
      <c r="AL3" s="167">
        <f t="shared" si="12"/>
        <v>43.00000000000003</v>
      </c>
      <c r="AM3" s="167">
        <f t="shared" si="13"/>
        <v>26.999999999999996</v>
      </c>
      <c r="AN3" s="163"/>
      <c r="AO3" s="163"/>
      <c r="AP3" s="163"/>
      <c r="AQ3" s="163">
        <v>100</v>
      </c>
      <c r="AR3" s="163"/>
      <c r="AS3" s="163"/>
      <c r="AT3" s="163"/>
      <c r="AU3" s="163"/>
      <c r="AV3" s="163"/>
      <c r="AW3" s="163"/>
      <c r="AX3" s="163"/>
      <c r="AY3" s="163"/>
      <c r="AZ3" s="163"/>
    </row>
    <row r="4" spans="1:52" ht="13.5" customHeight="1">
      <c r="A4" s="163"/>
      <c r="B4" s="163"/>
      <c r="C4" s="163"/>
      <c r="D4" s="163"/>
      <c r="E4" s="168"/>
      <c r="F4" s="168"/>
      <c r="G4" s="168"/>
      <c r="H4" s="168"/>
      <c r="I4" s="168"/>
      <c r="J4" s="168"/>
      <c r="K4" s="168"/>
      <c r="L4" s="168"/>
      <c r="M4" s="168"/>
      <c r="N4" s="168"/>
      <c r="O4" s="168"/>
      <c r="P4" s="168"/>
      <c r="Q4" s="168"/>
      <c r="R4" s="168"/>
      <c r="S4" s="168"/>
      <c r="T4" s="168"/>
      <c r="U4" s="168"/>
      <c r="V4" s="168"/>
      <c r="W4" s="168"/>
      <c r="X4" s="167" t="s">
        <v>172</v>
      </c>
      <c r="Y4" s="167">
        <f t="shared" si="0"/>
        <v>1.3333333333333333</v>
      </c>
      <c r="Z4" s="167">
        <f t="shared" si="14"/>
        <v>0.2</v>
      </c>
      <c r="AA4" s="167">
        <f t="shared" si="1"/>
        <v>6</v>
      </c>
      <c r="AB4" s="167">
        <f t="shared" si="2"/>
        <v>96</v>
      </c>
      <c r="AC4" s="167">
        <f t="shared" si="3"/>
        <v>94</v>
      </c>
      <c r="AD4" s="167">
        <f t="shared" si="4"/>
        <v>96</v>
      </c>
      <c r="AE4" s="167">
        <f t="shared" si="5"/>
        <v>96</v>
      </c>
      <c r="AF4" s="167">
        <f t="shared" si="6"/>
        <v>94</v>
      </c>
      <c r="AG4" s="167">
        <f t="shared" si="7"/>
        <v>90</v>
      </c>
      <c r="AH4" s="167">
        <f t="shared" si="8"/>
        <v>84</v>
      </c>
      <c r="AI4" s="167">
        <f t="shared" si="9"/>
        <v>76</v>
      </c>
      <c r="AJ4" s="167">
        <f t="shared" si="10"/>
        <v>66</v>
      </c>
      <c r="AK4" s="167">
        <f t="shared" si="11"/>
        <v>54.00000000000003</v>
      </c>
      <c r="AL4" s="167">
        <f t="shared" si="12"/>
        <v>40.00000000000003</v>
      </c>
      <c r="AM4" s="167">
        <f t="shared" si="13"/>
        <v>23.999999999999996</v>
      </c>
      <c r="AN4" s="163"/>
      <c r="AO4" s="163"/>
      <c r="AP4" s="163"/>
      <c r="AQ4" s="163"/>
      <c r="AR4" s="163"/>
      <c r="AS4" s="163"/>
      <c r="AT4" s="163"/>
      <c r="AU4" s="163"/>
      <c r="AV4" s="163"/>
      <c r="AW4" s="163"/>
      <c r="AX4" s="163"/>
      <c r="AY4" s="163"/>
      <c r="AZ4" s="163"/>
    </row>
    <row r="5" spans="1:52" ht="13.5" customHeight="1">
      <c r="A5" s="163"/>
      <c r="B5" s="163"/>
      <c r="C5" s="163"/>
      <c r="D5" s="163"/>
      <c r="E5" s="168"/>
      <c r="F5" s="168"/>
      <c r="G5" s="168"/>
      <c r="H5" s="168"/>
      <c r="I5" s="168"/>
      <c r="J5" s="168"/>
      <c r="K5" s="168"/>
      <c r="L5" s="168"/>
      <c r="M5" s="168"/>
      <c r="N5" s="168"/>
      <c r="O5" s="168"/>
      <c r="P5" s="168"/>
      <c r="Q5" s="168"/>
      <c r="R5" s="168"/>
      <c r="S5" s="168"/>
      <c r="T5" s="168"/>
      <c r="U5" s="168"/>
      <c r="V5" s="168"/>
      <c r="W5" s="168"/>
      <c r="X5" s="167" t="s">
        <v>173</v>
      </c>
      <c r="Y5" s="167">
        <f t="shared" si="0"/>
        <v>2.0000000000000004</v>
      </c>
      <c r="Z5" s="167">
        <f t="shared" si="14"/>
        <v>0.30000000000000004</v>
      </c>
      <c r="AA5" s="167">
        <f t="shared" si="1"/>
        <v>9.000000000000002</v>
      </c>
      <c r="AB5" s="167">
        <f t="shared" si="2"/>
        <v>91</v>
      </c>
      <c r="AC5" s="167">
        <f t="shared" si="3"/>
        <v>91</v>
      </c>
      <c r="AD5" s="167">
        <f t="shared" si="4"/>
        <v>93</v>
      </c>
      <c r="AE5" s="167">
        <f t="shared" si="5"/>
        <v>93</v>
      </c>
      <c r="AF5" s="167">
        <f t="shared" si="6"/>
        <v>91</v>
      </c>
      <c r="AG5" s="167">
        <f t="shared" si="7"/>
        <v>87</v>
      </c>
      <c r="AH5" s="167">
        <f t="shared" si="8"/>
        <v>81</v>
      </c>
      <c r="AI5" s="167">
        <f t="shared" si="9"/>
        <v>73</v>
      </c>
      <c r="AJ5" s="167">
        <f t="shared" si="10"/>
        <v>63</v>
      </c>
      <c r="AK5" s="167">
        <f t="shared" si="11"/>
        <v>51.00000000000003</v>
      </c>
      <c r="AL5" s="167">
        <f t="shared" si="12"/>
        <v>37.00000000000003</v>
      </c>
      <c r="AM5" s="167">
        <f t="shared" si="13"/>
        <v>20.999999999999993</v>
      </c>
      <c r="AN5" s="163"/>
      <c r="AO5" s="163"/>
      <c r="AP5" s="163"/>
      <c r="AQ5" s="163"/>
      <c r="AR5" s="163"/>
      <c r="AS5" s="163"/>
      <c r="AT5" s="163"/>
      <c r="AU5" s="163"/>
      <c r="AV5" s="163"/>
      <c r="AW5" s="163"/>
      <c r="AX5" s="163"/>
      <c r="AY5" s="163"/>
      <c r="AZ5" s="163"/>
    </row>
    <row r="6" spans="1:52" ht="13.5" customHeight="1">
      <c r="A6" s="163"/>
      <c r="B6" s="163"/>
      <c r="C6" s="163"/>
      <c r="D6" s="163"/>
      <c r="E6" s="168"/>
      <c r="F6" s="168"/>
      <c r="G6" s="168"/>
      <c r="H6" s="168"/>
      <c r="I6" s="168"/>
      <c r="J6" s="168"/>
      <c r="K6" s="168"/>
      <c r="L6" s="168"/>
      <c r="M6" s="168"/>
      <c r="N6" s="168"/>
      <c r="O6" s="168"/>
      <c r="P6" s="168"/>
      <c r="Q6" s="168"/>
      <c r="R6" s="168"/>
      <c r="S6" s="168"/>
      <c r="T6" s="168"/>
      <c r="U6" s="168"/>
      <c r="V6" s="168"/>
      <c r="W6" s="168"/>
      <c r="X6" s="167" t="s">
        <v>174</v>
      </c>
      <c r="Y6" s="167">
        <f t="shared" si="0"/>
        <v>2.6666666666666665</v>
      </c>
      <c r="Z6" s="167">
        <f t="shared" si="14"/>
        <v>0.4</v>
      </c>
      <c r="AA6" s="167">
        <f t="shared" si="1"/>
        <v>12</v>
      </c>
      <c r="AB6" s="167">
        <f t="shared" si="2"/>
        <v>84</v>
      </c>
      <c r="AC6" s="167">
        <f t="shared" si="3"/>
        <v>88</v>
      </c>
      <c r="AD6" s="167">
        <f t="shared" si="4"/>
        <v>90</v>
      </c>
      <c r="AE6" s="167">
        <f t="shared" si="5"/>
        <v>90</v>
      </c>
      <c r="AF6" s="167">
        <f t="shared" si="6"/>
        <v>88</v>
      </c>
      <c r="AG6" s="167">
        <f t="shared" si="7"/>
        <v>84</v>
      </c>
      <c r="AH6" s="167">
        <f t="shared" si="8"/>
        <v>78</v>
      </c>
      <c r="AI6" s="167">
        <f t="shared" si="9"/>
        <v>70</v>
      </c>
      <c r="AJ6" s="167">
        <f t="shared" si="10"/>
        <v>60</v>
      </c>
      <c r="AK6" s="167">
        <f t="shared" si="11"/>
        <v>48.00000000000003</v>
      </c>
      <c r="AL6" s="167">
        <f t="shared" si="12"/>
        <v>34.00000000000003</v>
      </c>
      <c r="AM6" s="167">
        <f t="shared" si="13"/>
        <v>17.999999999999996</v>
      </c>
      <c r="AN6" s="163"/>
      <c r="AO6" s="163"/>
      <c r="AP6" s="163"/>
      <c r="AQ6" s="163"/>
      <c r="AR6" s="163"/>
      <c r="AS6" s="163"/>
      <c r="AT6" s="163"/>
      <c r="AU6" s="163"/>
      <c r="AV6" s="163"/>
      <c r="AW6" s="163"/>
      <c r="AX6" s="163"/>
      <c r="AY6" s="163"/>
      <c r="AZ6" s="163"/>
    </row>
    <row r="7" spans="1:52" ht="13.5" customHeight="1">
      <c r="A7" s="163"/>
      <c r="B7" s="163"/>
      <c r="C7" s="163"/>
      <c r="D7" s="163"/>
      <c r="E7" s="163"/>
      <c r="F7" s="168"/>
      <c r="G7" s="168"/>
      <c r="H7" s="168"/>
      <c r="I7" s="168"/>
      <c r="J7" s="168"/>
      <c r="K7" s="168"/>
      <c r="L7" s="168"/>
      <c r="M7" s="168"/>
      <c r="N7" s="168"/>
      <c r="O7" s="168"/>
      <c r="P7" s="168"/>
      <c r="Q7" s="168"/>
      <c r="R7" s="168"/>
      <c r="S7" s="168"/>
      <c r="T7" s="168"/>
      <c r="U7" s="168"/>
      <c r="V7" s="168"/>
      <c r="W7" s="168"/>
      <c r="X7" s="167" t="s">
        <v>175</v>
      </c>
      <c r="Y7" s="167">
        <f t="shared" si="0"/>
        <v>3.333333333333333</v>
      </c>
      <c r="Z7" s="167">
        <f t="shared" si="14"/>
        <v>0.5</v>
      </c>
      <c r="AA7" s="167">
        <f t="shared" si="1"/>
        <v>15</v>
      </c>
      <c r="AB7" s="167">
        <f t="shared" si="2"/>
        <v>75</v>
      </c>
      <c r="AC7" s="167">
        <f t="shared" si="3"/>
        <v>85</v>
      </c>
      <c r="AD7" s="167">
        <f t="shared" si="4"/>
        <v>87</v>
      </c>
      <c r="AE7" s="167">
        <f t="shared" si="5"/>
        <v>87</v>
      </c>
      <c r="AF7" s="167">
        <f t="shared" si="6"/>
        <v>85</v>
      </c>
      <c r="AG7" s="167">
        <f t="shared" si="7"/>
        <v>81</v>
      </c>
      <c r="AH7" s="167">
        <f t="shared" si="8"/>
        <v>75</v>
      </c>
      <c r="AI7" s="167">
        <f t="shared" si="9"/>
        <v>67</v>
      </c>
      <c r="AJ7" s="167">
        <f t="shared" si="10"/>
        <v>57</v>
      </c>
      <c r="AK7" s="167">
        <f t="shared" si="11"/>
        <v>45.00000000000003</v>
      </c>
      <c r="AL7" s="167">
        <f t="shared" si="12"/>
        <v>31.00000000000003</v>
      </c>
      <c r="AM7" s="167">
        <f t="shared" si="13"/>
        <v>14.999999999999996</v>
      </c>
      <c r="AN7" s="163"/>
      <c r="AO7" s="163"/>
      <c r="AP7" s="163"/>
      <c r="AQ7" s="163"/>
      <c r="AR7" s="163"/>
      <c r="AS7" s="163"/>
      <c r="AT7" s="163"/>
      <c r="AU7" s="163"/>
      <c r="AV7" s="163"/>
      <c r="AW7" s="163"/>
      <c r="AX7" s="163"/>
      <c r="AY7" s="163"/>
      <c r="AZ7" s="163"/>
    </row>
    <row r="8" spans="1:52" ht="13.5" customHeight="1">
      <c r="A8" s="163"/>
      <c r="B8" s="163"/>
      <c r="C8" s="163"/>
      <c r="D8" s="163"/>
      <c r="E8" s="163"/>
      <c r="F8" s="168"/>
      <c r="G8" s="168"/>
      <c r="H8" s="168"/>
      <c r="I8" s="168"/>
      <c r="J8" s="168"/>
      <c r="K8" s="168"/>
      <c r="L8" s="168"/>
      <c r="M8" s="168"/>
      <c r="N8" s="168"/>
      <c r="O8" s="168"/>
      <c r="P8" s="168"/>
      <c r="Q8" s="168"/>
      <c r="R8" s="168"/>
      <c r="S8" s="168"/>
      <c r="T8" s="168"/>
      <c r="U8" s="168"/>
      <c r="V8" s="168"/>
      <c r="W8" s="168"/>
      <c r="X8" s="167" t="s">
        <v>176</v>
      </c>
      <c r="Y8" s="167">
        <f t="shared" si="0"/>
        <v>4</v>
      </c>
      <c r="Z8" s="167">
        <f t="shared" si="14"/>
        <v>0.6</v>
      </c>
      <c r="AA8" s="167">
        <f t="shared" si="1"/>
        <v>18</v>
      </c>
      <c r="AB8" s="167">
        <f t="shared" si="2"/>
        <v>64</v>
      </c>
      <c r="AC8" s="167">
        <f t="shared" si="3"/>
        <v>82</v>
      </c>
      <c r="AD8" s="167">
        <f t="shared" si="4"/>
        <v>84</v>
      </c>
      <c r="AE8" s="167">
        <f t="shared" si="5"/>
        <v>84</v>
      </c>
      <c r="AF8" s="167">
        <f t="shared" si="6"/>
        <v>82</v>
      </c>
      <c r="AG8" s="167">
        <f t="shared" si="7"/>
        <v>78</v>
      </c>
      <c r="AH8" s="167">
        <f t="shared" si="8"/>
        <v>72</v>
      </c>
      <c r="AI8" s="167">
        <f t="shared" si="9"/>
        <v>64</v>
      </c>
      <c r="AJ8" s="167">
        <f t="shared" si="10"/>
        <v>54</v>
      </c>
      <c r="AK8" s="167">
        <f t="shared" si="11"/>
        <v>42.00000000000003</v>
      </c>
      <c r="AL8" s="167">
        <f t="shared" si="12"/>
        <v>28.00000000000003</v>
      </c>
      <c r="AM8" s="167">
        <f t="shared" si="13"/>
        <v>11.999999999999996</v>
      </c>
      <c r="AN8" s="163"/>
      <c r="AO8" s="163"/>
      <c r="AP8" s="163"/>
      <c r="AQ8" s="163"/>
      <c r="AR8" s="163"/>
      <c r="AS8" s="163"/>
      <c r="AT8" s="163"/>
      <c r="AU8" s="163"/>
      <c r="AV8" s="163"/>
      <c r="AW8" s="163"/>
      <c r="AX8" s="163"/>
      <c r="AY8" s="163"/>
      <c r="AZ8" s="163"/>
    </row>
    <row r="9" spans="1:52" ht="13.5" customHeight="1">
      <c r="A9" s="163"/>
      <c r="B9" s="163"/>
      <c r="C9" s="163"/>
      <c r="D9" s="163"/>
      <c r="E9" s="163"/>
      <c r="F9" s="163"/>
      <c r="G9" s="163"/>
      <c r="H9" s="163"/>
      <c r="I9" s="163"/>
      <c r="J9" s="163"/>
      <c r="K9" s="163"/>
      <c r="L9" s="163"/>
      <c r="M9" s="163"/>
      <c r="N9" s="163"/>
      <c r="O9" s="163"/>
      <c r="P9" s="163"/>
      <c r="Q9" s="163"/>
      <c r="R9" s="163"/>
      <c r="S9" s="163"/>
      <c r="T9" s="163"/>
      <c r="U9" s="163"/>
      <c r="V9" s="163"/>
      <c r="W9" s="163"/>
      <c r="X9" s="167" t="s">
        <v>177</v>
      </c>
      <c r="Y9" s="167">
        <f t="shared" si="0"/>
        <v>4.666666666666666</v>
      </c>
      <c r="Z9" s="167">
        <f t="shared" si="14"/>
        <v>0.7</v>
      </c>
      <c r="AA9" s="167">
        <f t="shared" si="1"/>
        <v>21</v>
      </c>
      <c r="AB9" s="167">
        <f t="shared" si="2"/>
        <v>51</v>
      </c>
      <c r="AC9" s="167">
        <f t="shared" si="3"/>
        <v>79</v>
      </c>
      <c r="AD9" s="167">
        <f t="shared" si="4"/>
        <v>81</v>
      </c>
      <c r="AE9" s="167">
        <f t="shared" si="5"/>
        <v>81</v>
      </c>
      <c r="AF9" s="167">
        <f t="shared" si="6"/>
        <v>79</v>
      </c>
      <c r="AG9" s="167">
        <f t="shared" si="7"/>
        <v>75</v>
      </c>
      <c r="AH9" s="167">
        <f t="shared" si="8"/>
        <v>69</v>
      </c>
      <c r="AI9" s="167">
        <f t="shared" si="9"/>
        <v>61</v>
      </c>
      <c r="AJ9" s="167">
        <f t="shared" si="10"/>
        <v>51</v>
      </c>
      <c r="AK9" s="167">
        <f t="shared" si="11"/>
        <v>39.00000000000003</v>
      </c>
      <c r="AL9" s="167">
        <f t="shared" si="12"/>
        <v>25.00000000000003</v>
      </c>
      <c r="AM9" s="167">
        <f t="shared" si="13"/>
        <v>8.999999999999996</v>
      </c>
      <c r="AN9" s="163"/>
      <c r="AO9" s="163"/>
      <c r="AP9" s="163"/>
      <c r="AQ9" s="163"/>
      <c r="AR9" s="163"/>
      <c r="AS9" s="163"/>
      <c r="AT9" s="163"/>
      <c r="AU9" s="163"/>
      <c r="AV9" s="163"/>
      <c r="AW9" s="163"/>
      <c r="AX9" s="163"/>
      <c r="AY9" s="163"/>
      <c r="AZ9" s="163"/>
    </row>
    <row r="10" spans="1:52" ht="13.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7" t="s">
        <v>178</v>
      </c>
      <c r="Y10" s="167">
        <f t="shared" si="0"/>
        <v>5.333333333333332</v>
      </c>
      <c r="Z10" s="167">
        <f t="shared" si="14"/>
        <v>0.7999999999999999</v>
      </c>
      <c r="AA10" s="167">
        <f t="shared" si="1"/>
        <v>23.999999999999996</v>
      </c>
      <c r="AB10" s="167">
        <f t="shared" si="2"/>
        <v>36.00000000000003</v>
      </c>
      <c r="AC10" s="167">
        <f t="shared" si="3"/>
        <v>76</v>
      </c>
      <c r="AD10" s="167">
        <f t="shared" si="4"/>
        <v>78</v>
      </c>
      <c r="AE10" s="167">
        <f t="shared" si="5"/>
        <v>78</v>
      </c>
      <c r="AF10" s="167">
        <f t="shared" si="6"/>
        <v>76</v>
      </c>
      <c r="AG10" s="167">
        <f t="shared" si="7"/>
        <v>72</v>
      </c>
      <c r="AH10" s="167">
        <f t="shared" si="8"/>
        <v>66</v>
      </c>
      <c r="AI10" s="167">
        <f t="shared" si="9"/>
        <v>58</v>
      </c>
      <c r="AJ10" s="167">
        <f t="shared" si="10"/>
        <v>48</v>
      </c>
      <c r="AK10" s="167">
        <f t="shared" si="11"/>
        <v>36.00000000000003</v>
      </c>
      <c r="AL10" s="167">
        <f t="shared" si="12"/>
        <v>22.000000000000032</v>
      </c>
      <c r="AM10" s="167">
        <f t="shared" si="13"/>
        <v>6</v>
      </c>
      <c r="AN10" s="163"/>
      <c r="AO10" s="163"/>
      <c r="AP10" s="163"/>
      <c r="AQ10" s="163"/>
      <c r="AR10" s="163"/>
      <c r="AS10" s="163"/>
      <c r="AT10" s="163"/>
      <c r="AU10" s="163"/>
      <c r="AV10" s="163"/>
      <c r="AW10" s="163"/>
      <c r="AX10" s="163"/>
      <c r="AY10" s="163"/>
      <c r="AZ10" s="163"/>
    </row>
    <row r="11" spans="1:52" ht="13.5" customHeight="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7" t="s">
        <v>179</v>
      </c>
      <c r="Y11" s="167">
        <f t="shared" si="0"/>
        <v>5.999999999999999</v>
      </c>
      <c r="Z11" s="167">
        <f t="shared" si="14"/>
        <v>0.8999999999999999</v>
      </c>
      <c r="AA11" s="167">
        <f t="shared" si="1"/>
        <v>26.999999999999996</v>
      </c>
      <c r="AB11" s="167">
        <f t="shared" si="2"/>
        <v>19.00000000000003</v>
      </c>
      <c r="AC11" s="167">
        <f t="shared" si="3"/>
        <v>73</v>
      </c>
      <c r="AD11" s="167">
        <f t="shared" si="4"/>
        <v>75</v>
      </c>
      <c r="AE11" s="167">
        <f t="shared" si="5"/>
        <v>75</v>
      </c>
      <c r="AF11" s="167">
        <f t="shared" si="6"/>
        <v>73</v>
      </c>
      <c r="AG11" s="167">
        <f t="shared" si="7"/>
        <v>69</v>
      </c>
      <c r="AH11" s="167">
        <f t="shared" si="8"/>
        <v>63</v>
      </c>
      <c r="AI11" s="167">
        <f t="shared" si="9"/>
        <v>55</v>
      </c>
      <c r="AJ11" s="167">
        <f t="shared" si="10"/>
        <v>45</v>
      </c>
      <c r="AK11" s="167">
        <f t="shared" si="11"/>
        <v>33.00000000000003</v>
      </c>
      <c r="AL11" s="167">
        <f t="shared" si="12"/>
        <v>19.000000000000032</v>
      </c>
      <c r="AM11" s="167">
        <f t="shared" si="13"/>
        <v>3</v>
      </c>
      <c r="AN11" s="163"/>
      <c r="AO11" s="163"/>
      <c r="AP11" s="163"/>
      <c r="AQ11" s="163"/>
      <c r="AR11" s="163"/>
      <c r="AS11" s="163"/>
      <c r="AT11" s="163"/>
      <c r="AU11" s="163"/>
      <c r="AV11" s="163"/>
      <c r="AW11" s="163"/>
      <c r="AX11" s="163"/>
      <c r="AY11" s="163"/>
      <c r="AZ11" s="163"/>
    </row>
    <row r="12" spans="1:52" ht="13.5" customHeight="1" thickBot="1">
      <c r="A12" s="311" t="s">
        <v>154</v>
      </c>
      <c r="B12" s="311"/>
      <c r="C12" s="311"/>
      <c r="D12" s="163"/>
      <c r="E12" s="163"/>
      <c r="F12" s="163"/>
      <c r="G12" s="163"/>
      <c r="H12" s="163"/>
      <c r="I12" s="163"/>
      <c r="J12" s="163"/>
      <c r="K12" s="163"/>
      <c r="L12" s="163"/>
      <c r="M12" s="163"/>
      <c r="N12" s="163"/>
      <c r="O12" s="163"/>
      <c r="P12" s="163"/>
      <c r="Q12" s="163"/>
      <c r="R12" s="163"/>
      <c r="S12" s="163"/>
      <c r="T12" s="163"/>
      <c r="U12" s="163"/>
      <c r="V12" s="163"/>
      <c r="W12" s="163"/>
      <c r="X12" s="167" t="s">
        <v>180</v>
      </c>
      <c r="Y12" s="167">
        <f t="shared" si="0"/>
        <v>6.666666666666665</v>
      </c>
      <c r="Z12" s="167">
        <f t="shared" si="14"/>
        <v>0.9999999999999999</v>
      </c>
      <c r="AA12" s="167">
        <f t="shared" si="1"/>
        <v>29.999999999999996</v>
      </c>
      <c r="AB12" s="169">
        <f t="shared" si="2"/>
        <v>0</v>
      </c>
      <c r="AC12" s="167">
        <f t="shared" si="3"/>
        <v>70</v>
      </c>
      <c r="AD12" s="167">
        <f t="shared" si="4"/>
        <v>72</v>
      </c>
      <c r="AE12" s="167">
        <f t="shared" si="5"/>
        <v>72</v>
      </c>
      <c r="AF12" s="167">
        <f t="shared" si="6"/>
        <v>70</v>
      </c>
      <c r="AG12" s="167">
        <f t="shared" si="7"/>
        <v>66</v>
      </c>
      <c r="AH12" s="167">
        <f t="shared" si="8"/>
        <v>60</v>
      </c>
      <c r="AI12" s="167">
        <f t="shared" si="9"/>
        <v>52</v>
      </c>
      <c r="AJ12" s="167">
        <f t="shared" si="10"/>
        <v>42</v>
      </c>
      <c r="AK12" s="167">
        <f t="shared" si="11"/>
        <v>30.000000000000032</v>
      </c>
      <c r="AL12" s="167">
        <f t="shared" si="12"/>
        <v>16.000000000000032</v>
      </c>
      <c r="AM12" s="167">
        <f t="shared" si="13"/>
        <v>0</v>
      </c>
      <c r="AN12" s="163"/>
      <c r="AO12" s="163"/>
      <c r="AP12" s="163"/>
      <c r="AQ12" s="163"/>
      <c r="AR12" s="163"/>
      <c r="AS12" s="163"/>
      <c r="AT12" s="163"/>
      <c r="AU12" s="163"/>
      <c r="AV12" s="163"/>
      <c r="AW12" s="163"/>
      <c r="AX12" s="163"/>
      <c r="AY12" s="163"/>
      <c r="AZ12" s="163"/>
    </row>
    <row r="13" spans="1:52" ht="13.5" customHeight="1" thickTop="1">
      <c r="A13" s="312" t="s">
        <v>33</v>
      </c>
      <c r="B13" s="312"/>
      <c r="C13" s="170">
        <v>30</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row>
    <row r="14" spans="1:52" ht="13.5" customHeight="1">
      <c r="A14" s="313" t="s">
        <v>34</v>
      </c>
      <c r="B14" s="313"/>
      <c r="C14" s="171">
        <v>100</v>
      </c>
      <c r="D14" s="163"/>
      <c r="E14" s="163"/>
      <c r="F14" s="163"/>
      <c r="G14" s="163"/>
      <c r="H14" s="163"/>
      <c r="I14" s="163"/>
      <c r="J14" s="163"/>
      <c r="K14" s="163"/>
      <c r="L14" s="163"/>
      <c r="M14" s="163"/>
      <c r="N14" s="163"/>
      <c r="O14" s="163"/>
      <c r="P14" s="163"/>
      <c r="Q14" s="163"/>
      <c r="R14" s="163"/>
      <c r="S14" s="163"/>
      <c r="T14" s="163"/>
      <c r="U14" s="163"/>
      <c r="V14" s="163"/>
      <c r="W14" s="163"/>
      <c r="X14" s="314"/>
      <c r="Y14" s="314"/>
      <c r="Z14" s="314"/>
      <c r="AA14" s="173"/>
      <c r="AB14" s="173"/>
      <c r="AC14" s="173"/>
      <c r="AD14" s="173"/>
      <c r="AE14" s="173"/>
      <c r="AF14" s="173"/>
      <c r="AG14" s="173"/>
      <c r="AH14" s="163"/>
      <c r="AI14" s="163"/>
      <c r="AJ14" s="163"/>
      <c r="AK14" s="163"/>
      <c r="AL14" s="163"/>
      <c r="AM14" s="163"/>
      <c r="AN14" s="163"/>
      <c r="AO14" s="163"/>
      <c r="AP14" s="163"/>
      <c r="AQ14" s="163"/>
      <c r="AR14" s="163"/>
      <c r="AS14" s="163"/>
      <c r="AT14" s="163"/>
      <c r="AU14" s="163"/>
      <c r="AV14" s="163"/>
      <c r="AW14" s="163"/>
      <c r="AX14" s="163"/>
      <c r="AY14" s="163"/>
      <c r="AZ14" s="163"/>
    </row>
    <row r="15" spans="1:52" ht="13.5" customHeight="1">
      <c r="A15" s="313" t="s">
        <v>155</v>
      </c>
      <c r="B15" s="313"/>
      <c r="C15" s="171">
        <f>AQ3/100</f>
        <v>1</v>
      </c>
      <c r="D15" s="163"/>
      <c r="E15" s="163"/>
      <c r="F15" s="163"/>
      <c r="G15" s="163"/>
      <c r="H15" s="163"/>
      <c r="I15" s="163"/>
      <c r="J15" s="163"/>
      <c r="K15" s="163"/>
      <c r="L15" s="163"/>
      <c r="M15" s="163"/>
      <c r="N15" s="163"/>
      <c r="O15" s="163"/>
      <c r="P15" s="163"/>
      <c r="Q15" s="163"/>
      <c r="R15" s="163"/>
      <c r="S15" s="163"/>
      <c r="T15" s="163"/>
      <c r="U15" s="163"/>
      <c r="V15" s="163"/>
      <c r="W15" s="163"/>
      <c r="X15" s="314"/>
      <c r="Y15" s="314"/>
      <c r="Z15" s="314"/>
      <c r="AA15" s="314"/>
      <c r="AB15" s="314"/>
      <c r="AC15" s="314"/>
      <c r="AD15" s="314"/>
      <c r="AE15" s="314"/>
      <c r="AF15" s="314"/>
      <c r="AG15" s="314"/>
      <c r="AH15" s="163"/>
      <c r="AI15" s="163"/>
      <c r="AJ15" s="163"/>
      <c r="AK15" s="163"/>
      <c r="AL15" s="163"/>
      <c r="AM15" s="163"/>
      <c r="AN15" s="163"/>
      <c r="AO15" s="163"/>
      <c r="AP15" s="163"/>
      <c r="AQ15" s="163"/>
      <c r="AR15" s="163"/>
      <c r="AS15" s="163"/>
      <c r="AT15" s="163"/>
      <c r="AU15" s="163"/>
      <c r="AV15" s="163"/>
      <c r="AW15" s="163"/>
      <c r="AX15" s="163"/>
      <c r="AY15" s="163"/>
      <c r="AZ15" s="163"/>
    </row>
    <row r="16" spans="1:52" ht="13.5" customHeigh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73"/>
      <c r="Y16" s="173"/>
      <c r="Z16" s="173"/>
      <c r="AA16" s="173"/>
      <c r="AB16" s="173"/>
      <c r="AC16" s="173"/>
      <c r="AD16" s="173"/>
      <c r="AE16" s="173"/>
      <c r="AF16" s="173"/>
      <c r="AG16" s="173"/>
      <c r="AH16" s="163"/>
      <c r="AI16" s="163"/>
      <c r="AJ16" s="163"/>
      <c r="AK16" s="163"/>
      <c r="AL16" s="163"/>
      <c r="AM16" s="163"/>
      <c r="AN16" s="163"/>
      <c r="AO16" s="163"/>
      <c r="AP16" s="163"/>
      <c r="AQ16" s="163"/>
      <c r="AR16" s="163"/>
      <c r="AS16" s="163"/>
      <c r="AT16" s="163"/>
      <c r="AU16" s="163"/>
      <c r="AV16" s="163"/>
      <c r="AW16" s="163"/>
      <c r="AX16" s="163"/>
      <c r="AY16" s="163"/>
      <c r="AZ16" s="163"/>
    </row>
    <row r="17" spans="1:52" ht="13.5"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314"/>
      <c r="Y17" s="314"/>
      <c r="Z17" s="314"/>
      <c r="AA17" s="314"/>
      <c r="AB17" s="314"/>
      <c r="AC17" s="314"/>
      <c r="AD17" s="173"/>
      <c r="AE17" s="173"/>
      <c r="AF17" s="173"/>
      <c r="AG17" s="173"/>
      <c r="AH17" s="163"/>
      <c r="AI17" s="163"/>
      <c r="AJ17" s="163"/>
      <c r="AK17" s="163"/>
      <c r="AL17" s="163"/>
      <c r="AM17" s="163"/>
      <c r="AN17" s="163"/>
      <c r="AO17" s="163"/>
      <c r="AP17" s="163"/>
      <c r="AQ17" s="163"/>
      <c r="AR17" s="163"/>
      <c r="AS17" s="163"/>
      <c r="AT17" s="163"/>
      <c r="AU17" s="163"/>
      <c r="AV17" s="163"/>
      <c r="AW17" s="163"/>
      <c r="AX17" s="163"/>
      <c r="AY17" s="163"/>
      <c r="AZ17" s="163"/>
    </row>
    <row r="18" spans="1:52" ht="13.5" customHeight="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8"/>
      <c r="AC18" s="168"/>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row>
    <row r="19" spans="1:52" ht="13.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8"/>
      <c r="AC19" s="168"/>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row>
    <row r="20" spans="1:52" ht="13.5"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8"/>
      <c r="AC20" s="168"/>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row>
    <row r="21" spans="1:52" ht="13.5" customHeight="1">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3"/>
      <c r="Y21" s="168"/>
      <c r="Z21" s="163"/>
      <c r="AA21" s="163"/>
      <c r="AB21" s="168"/>
      <c r="AC21" s="168"/>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row>
    <row r="22" spans="1:52" ht="13.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3"/>
      <c r="AA22" s="163"/>
      <c r="AB22" s="168"/>
      <c r="AC22" s="168"/>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row>
    <row r="23" spans="1:52" ht="13.5" customHeight="1">
      <c r="A23" s="163"/>
      <c r="B23" s="163"/>
      <c r="C23" s="163"/>
      <c r="D23" s="163"/>
      <c r="E23" s="163"/>
      <c r="F23" s="168"/>
      <c r="G23" s="168"/>
      <c r="H23" s="168"/>
      <c r="I23" s="168"/>
      <c r="J23" s="168"/>
      <c r="K23" s="168"/>
      <c r="L23" s="168"/>
      <c r="M23" s="168"/>
      <c r="N23" s="168"/>
      <c r="O23" s="168"/>
      <c r="P23" s="168"/>
      <c r="Q23" s="168"/>
      <c r="R23" s="168"/>
      <c r="S23" s="168"/>
      <c r="T23" s="168"/>
      <c r="U23" s="168"/>
      <c r="V23" s="168"/>
      <c r="W23" s="168"/>
      <c r="X23" s="168"/>
      <c r="Y23" s="168"/>
      <c r="Z23" s="163"/>
      <c r="AA23" s="163"/>
      <c r="AB23" s="168"/>
      <c r="AC23" s="168"/>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row>
    <row r="24" spans="1:52" ht="13.5" customHeight="1">
      <c r="A24" s="163"/>
      <c r="B24" s="163"/>
      <c r="C24" s="163"/>
      <c r="D24" s="163"/>
      <c r="E24" s="163"/>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row>
    <row r="25" spans="1:52" ht="13.5" customHeight="1">
      <c r="A25" s="163"/>
      <c r="B25" s="163"/>
      <c r="C25" s="163"/>
      <c r="D25" s="163"/>
      <c r="E25" s="163"/>
      <c r="F25" s="163"/>
      <c r="G25" s="163"/>
      <c r="H25" s="163"/>
      <c r="I25" s="163"/>
      <c r="J25" s="172"/>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2" ht="13.5"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row>
    <row r="27" spans="1:52" ht="13.5" customHeight="1">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row>
    <row r="28" spans="1:52" ht="13.5" customHeight="1">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row>
    <row r="29" spans="1:52" ht="13.5" customHeight="1">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row>
    <row r="30" spans="1:52" ht="13.5"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row>
    <row r="31" spans="1:52" ht="13.5" customHeight="1">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row>
    <row r="32" spans="1:52" ht="13.5"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row>
    <row r="33" spans="1:52" ht="13.5"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row>
    <row r="34" spans="1:52" ht="13.5"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row>
    <row r="35" spans="1:52" ht="13.5"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row>
    <row r="36" spans="1:52" ht="13.5" customHeight="1">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row>
    <row r="37" spans="1:52" ht="13.5" customHeight="1">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row>
    <row r="38" spans="1:52" ht="13.5" customHeight="1">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row>
    <row r="39" spans="1:52" ht="13.5"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row>
    <row r="40" spans="1:52" ht="13.5"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row>
    <row r="41" spans="1:52" ht="13.5" customHeight="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row>
    <row r="42" spans="1:52" ht="13.5" customHeight="1">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row>
    <row r="43" spans="1:52" ht="13.5" customHeight="1">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row>
    <row r="44" spans="1:52" ht="13.5" customHeight="1">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row>
    <row r="45" spans="1:52" ht="13.5"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row>
    <row r="46" spans="1:52" ht="13.5" customHeight="1">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row>
    <row r="47" spans="1:52" ht="13.5"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row>
    <row r="48" spans="1:52" ht="13.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row>
    <row r="49" spans="1:52" ht="13.5" customHeight="1">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row>
    <row r="50" spans="1:52" ht="13.5" customHeight="1">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row>
    <row r="51" spans="1:52" ht="13.5" customHeight="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row>
    <row r="52" spans="1:52" ht="13.5" customHeight="1">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row>
    <row r="53" spans="1:52" ht="13.5" customHeight="1">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row>
    <row r="54" spans="1:52" ht="13.5" customHeight="1">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row>
    <row r="55" spans="1:52" ht="13.5" customHeight="1">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row>
    <row r="56" spans="1:52" ht="13.5" customHeight="1">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row>
    <row r="57" spans="1:52" ht="13.5" customHeight="1">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row>
    <row r="58" spans="1:52" ht="13.5" customHeight="1">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row>
    <row r="59" spans="1:52" ht="13.5" customHeight="1">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row>
    <row r="60" spans="1:52" ht="13.5" customHeight="1">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row>
    <row r="61" spans="1:52" ht="13.5" customHeight="1">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row>
    <row r="62" spans="1:52" ht="13.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row>
    <row r="63" spans="1:52" ht="13.5" customHeight="1">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row>
    <row r="64" spans="1:52" ht="13.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row>
    <row r="65" spans="1:52" ht="13.5"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row>
    <row r="66" spans="1:52" ht="13.5" customHeight="1">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row>
    <row r="67" spans="1:52" ht="13.5" customHeight="1">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row>
    <row r="68" spans="1:52" ht="13.5" customHeight="1">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row>
    <row r="69" spans="1:52" ht="13.5" customHeight="1">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row>
    <row r="70" spans="1:52" ht="13.5" customHeight="1">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row>
    <row r="71" spans="1:52" ht="13.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row>
    <row r="72" spans="1:52" ht="13.5" customHeight="1">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row>
    <row r="73" spans="1:52" ht="13.5" customHeight="1">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row>
    <row r="74" spans="1:52" ht="13.5" customHeight="1">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row>
    <row r="75" spans="1:52" ht="13.5" customHeight="1">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row>
  </sheetData>
  <mergeCells count="7">
    <mergeCell ref="A12:C12"/>
    <mergeCell ref="A13:B13"/>
    <mergeCell ref="A14:B14"/>
    <mergeCell ref="X17:AC17"/>
    <mergeCell ref="A15:B15"/>
    <mergeCell ref="X14:Z14"/>
    <mergeCell ref="X15:AG15"/>
  </mergeCells>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11"/>
  <dimension ref="A1:AA50"/>
  <sheetViews>
    <sheetView workbookViewId="0" topLeftCell="A1">
      <selection activeCell="A1" sqref="A1"/>
    </sheetView>
  </sheetViews>
  <sheetFormatPr defaultColWidth="8.8515625" defaultRowHeight="12.75"/>
  <cols>
    <col min="1" max="16384" width="8.8515625" style="2" customWidth="1"/>
  </cols>
  <sheetData>
    <row r="1" spans="1:27" ht="15">
      <c r="A1" s="1"/>
      <c r="B1" s="1"/>
      <c r="C1" s="1"/>
      <c r="D1" s="1"/>
      <c r="E1" s="1"/>
      <c r="F1" s="1"/>
      <c r="G1" s="1"/>
      <c r="H1" s="1"/>
      <c r="I1" s="1"/>
      <c r="J1" s="1"/>
      <c r="K1" s="1"/>
      <c r="L1" s="1"/>
      <c r="M1" s="1"/>
      <c r="N1" s="1"/>
      <c r="O1" s="1"/>
      <c r="P1" s="1"/>
      <c r="Q1" s="1"/>
      <c r="R1" s="1"/>
      <c r="S1" s="1"/>
      <c r="T1" s="1"/>
      <c r="U1" s="1"/>
      <c r="V1" s="1"/>
      <c r="W1" s="1"/>
      <c r="X1" s="1"/>
      <c r="Y1" s="1"/>
      <c r="Z1" s="1"/>
      <c r="AA1" s="1"/>
    </row>
    <row r="2" spans="1:27" ht="15">
      <c r="A2" s="1"/>
      <c r="B2" s="1"/>
      <c r="C2" s="1"/>
      <c r="D2" s="1"/>
      <c r="E2" s="1"/>
      <c r="F2" s="1"/>
      <c r="G2" s="1"/>
      <c r="H2" s="1"/>
      <c r="I2" s="1"/>
      <c r="J2" s="1"/>
      <c r="K2" s="1"/>
      <c r="L2" s="1"/>
      <c r="M2" s="1"/>
      <c r="N2" s="1"/>
      <c r="O2" s="1"/>
      <c r="P2" s="1"/>
      <c r="Q2" s="1"/>
      <c r="R2" s="1"/>
      <c r="S2" s="1"/>
      <c r="T2" s="1"/>
      <c r="U2" s="1"/>
      <c r="V2" s="1"/>
      <c r="W2" s="1"/>
      <c r="X2" s="1"/>
      <c r="Y2" s="1"/>
      <c r="Z2" s="1"/>
      <c r="AA2" s="1"/>
    </row>
    <row r="3" spans="1:27" ht="15">
      <c r="A3" s="1"/>
      <c r="B3" s="1"/>
      <c r="C3" s="1"/>
      <c r="D3" s="1"/>
      <c r="E3" s="1"/>
      <c r="F3" s="1"/>
      <c r="G3" s="1"/>
      <c r="H3" s="1"/>
      <c r="I3" s="1"/>
      <c r="J3" s="1"/>
      <c r="K3" s="1"/>
      <c r="L3" s="1"/>
      <c r="M3" s="1"/>
      <c r="N3" s="1"/>
      <c r="O3" s="1"/>
      <c r="P3" s="1"/>
      <c r="Q3" s="1"/>
      <c r="R3" s="1"/>
      <c r="S3" s="1"/>
      <c r="T3" s="1"/>
      <c r="U3" s="1"/>
      <c r="V3" s="1"/>
      <c r="W3" s="1"/>
      <c r="X3" s="1"/>
      <c r="Y3" s="1"/>
      <c r="Z3" s="1"/>
      <c r="AA3" s="1"/>
    </row>
    <row r="4" spans="1:27" ht="15">
      <c r="A4" s="1"/>
      <c r="B4" s="1"/>
      <c r="C4" s="1"/>
      <c r="D4" s="1"/>
      <c r="E4" s="1"/>
      <c r="F4" s="1"/>
      <c r="G4" s="1"/>
      <c r="H4" s="1"/>
      <c r="I4" s="1"/>
      <c r="J4" s="1"/>
      <c r="K4" s="1"/>
      <c r="L4" s="1"/>
      <c r="M4" s="1"/>
      <c r="N4" s="1"/>
      <c r="O4" s="1"/>
      <c r="P4" s="1"/>
      <c r="Q4" s="1"/>
      <c r="R4" s="1"/>
      <c r="S4" s="1"/>
      <c r="T4" s="1"/>
      <c r="U4" s="1"/>
      <c r="V4" s="1"/>
      <c r="W4" s="1"/>
      <c r="X4" s="1"/>
      <c r="Y4" s="1"/>
      <c r="Z4" s="1"/>
      <c r="AA4" s="1"/>
    </row>
    <row r="5" spans="1:27" ht="15">
      <c r="A5" s="1"/>
      <c r="B5" s="1"/>
      <c r="C5" s="1"/>
      <c r="D5" s="1"/>
      <c r="E5" s="1"/>
      <c r="F5" s="1"/>
      <c r="G5" s="1"/>
      <c r="H5" s="1"/>
      <c r="I5" s="1"/>
      <c r="J5" s="1"/>
      <c r="K5" s="1"/>
      <c r="L5" s="1"/>
      <c r="M5" s="1"/>
      <c r="N5" s="1"/>
      <c r="O5" s="1"/>
      <c r="P5" s="1"/>
      <c r="Q5" s="1"/>
      <c r="R5" s="1"/>
      <c r="S5" s="1"/>
      <c r="T5" s="1"/>
      <c r="U5" s="1"/>
      <c r="V5" s="1"/>
      <c r="W5" s="1"/>
      <c r="X5" s="1"/>
      <c r="Y5" s="1"/>
      <c r="Z5" s="1"/>
      <c r="AA5" s="1"/>
    </row>
    <row r="6" spans="1:27" ht="15">
      <c r="A6" s="1"/>
      <c r="B6" s="1"/>
      <c r="C6" s="1"/>
      <c r="D6" s="1"/>
      <c r="E6" s="1"/>
      <c r="F6" s="1"/>
      <c r="G6" s="1"/>
      <c r="H6" s="1"/>
      <c r="I6" s="1"/>
      <c r="J6" s="1"/>
      <c r="K6" s="1"/>
      <c r="L6" s="1"/>
      <c r="M6" s="1"/>
      <c r="N6" s="1"/>
      <c r="O6" s="1"/>
      <c r="P6" s="1"/>
      <c r="Q6" s="1"/>
      <c r="R6" s="1"/>
      <c r="S6" s="1"/>
      <c r="T6" s="1"/>
      <c r="U6" s="1"/>
      <c r="V6" s="1"/>
      <c r="W6" s="1"/>
      <c r="X6" s="1"/>
      <c r="Y6" s="1"/>
      <c r="Z6" s="1"/>
      <c r="AA6" s="1"/>
    </row>
    <row r="7" spans="1:27" ht="15">
      <c r="A7" s="1"/>
      <c r="B7" s="1"/>
      <c r="C7" s="1"/>
      <c r="D7" s="1"/>
      <c r="E7" s="1"/>
      <c r="F7" s="1"/>
      <c r="G7" s="1"/>
      <c r="H7" s="1"/>
      <c r="I7" s="1"/>
      <c r="J7" s="1"/>
      <c r="K7" s="1"/>
      <c r="L7" s="1"/>
      <c r="M7" s="1"/>
      <c r="N7" s="1"/>
      <c r="O7" s="1"/>
      <c r="P7" s="1"/>
      <c r="Q7" s="1"/>
      <c r="R7" s="1"/>
      <c r="S7" s="1"/>
      <c r="T7" s="1"/>
      <c r="U7" s="1"/>
      <c r="V7" s="1"/>
      <c r="W7" s="1"/>
      <c r="X7" s="1"/>
      <c r="Y7" s="1"/>
      <c r="Z7" s="1"/>
      <c r="AA7" s="1"/>
    </row>
    <row r="8" spans="1:27" ht="15">
      <c r="A8" s="1"/>
      <c r="B8" s="1"/>
      <c r="C8" s="1"/>
      <c r="D8" s="1"/>
      <c r="E8" s="1"/>
      <c r="F8" s="1"/>
      <c r="G8" s="1"/>
      <c r="H8" s="1"/>
      <c r="I8" s="1"/>
      <c r="J8" s="1"/>
      <c r="K8" s="1"/>
      <c r="L8" s="1"/>
      <c r="M8" s="1"/>
      <c r="N8" s="1"/>
      <c r="O8" s="1"/>
      <c r="P8" s="1"/>
      <c r="Q8" s="1"/>
      <c r="R8" s="1"/>
      <c r="S8" s="1"/>
      <c r="T8" s="1"/>
      <c r="U8" s="1"/>
      <c r="V8" s="1"/>
      <c r="W8" s="1"/>
      <c r="X8" s="1"/>
      <c r="Y8" s="1"/>
      <c r="Z8" s="1"/>
      <c r="AA8" s="1"/>
    </row>
    <row r="9" spans="1:27" ht="15">
      <c r="A9" s="1"/>
      <c r="B9" s="1"/>
      <c r="C9" s="1"/>
      <c r="D9" s="1"/>
      <c r="E9" s="1"/>
      <c r="F9" s="1"/>
      <c r="G9" s="1"/>
      <c r="H9" s="1"/>
      <c r="I9" s="1"/>
      <c r="J9" s="1"/>
      <c r="K9" s="1"/>
      <c r="L9" s="1"/>
      <c r="M9" s="1"/>
      <c r="N9" s="1"/>
      <c r="O9" s="1"/>
      <c r="P9" s="1"/>
      <c r="Q9" s="1"/>
      <c r="R9" s="1"/>
      <c r="S9" s="1"/>
      <c r="T9" s="1"/>
      <c r="U9" s="1"/>
      <c r="V9" s="1"/>
      <c r="W9" s="1"/>
      <c r="X9" s="1"/>
      <c r="Y9" s="1"/>
      <c r="Z9" s="1"/>
      <c r="AA9" s="1"/>
    </row>
    <row r="10" spans="1:27" ht="1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c r="A50" s="1"/>
      <c r="B50" s="1"/>
      <c r="C50" s="1"/>
      <c r="D50" s="1"/>
      <c r="E50" s="1"/>
      <c r="F50" s="1"/>
      <c r="G50" s="1"/>
      <c r="H50" s="1"/>
      <c r="I50" s="1"/>
      <c r="J50" s="1"/>
      <c r="K50" s="1"/>
      <c r="L50" s="1"/>
      <c r="M50" s="1"/>
      <c r="N50" s="1"/>
      <c r="O50" s="1"/>
      <c r="P50" s="1"/>
      <c r="Q50" s="1"/>
      <c r="R50" s="1"/>
      <c r="S50" s="1"/>
      <c r="T50" s="1"/>
      <c r="U50" s="1"/>
      <c r="V50" s="1"/>
      <c r="W50" s="1"/>
      <c r="X50" s="1"/>
      <c r="Y50" s="1"/>
      <c r="Z50" s="1"/>
      <c r="AA50" s="1"/>
    </row>
  </sheetData>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N50"/>
  <sheetViews>
    <sheetView workbookViewId="0" topLeftCell="A1">
      <selection activeCell="A1" sqref="A1"/>
    </sheetView>
  </sheetViews>
  <sheetFormatPr defaultColWidth="9.140625" defaultRowHeight="12.75"/>
  <cols>
    <col min="29" max="29" width="12.421875" style="0" bestFit="1" customWidth="1"/>
  </cols>
  <sheetData>
    <row r="1" spans="1:40" ht="13.5" customHeight="1">
      <c r="A1" s="12"/>
      <c r="B1" s="12"/>
      <c r="C1" s="12"/>
      <c r="D1" s="12"/>
      <c r="E1" s="12"/>
      <c r="F1" s="12"/>
      <c r="G1" s="12"/>
      <c r="H1" s="12"/>
      <c r="I1" s="12"/>
      <c r="J1" s="12"/>
      <c r="K1" s="12"/>
      <c r="L1" s="12"/>
      <c r="M1" s="12"/>
      <c r="N1" s="12"/>
      <c r="O1" s="13"/>
      <c r="P1" s="13"/>
      <c r="Q1" s="13"/>
      <c r="R1" s="13"/>
      <c r="S1" s="13"/>
      <c r="T1" s="13"/>
      <c r="U1" s="13"/>
      <c r="V1" s="13"/>
      <c r="W1" s="13"/>
      <c r="X1" s="13"/>
      <c r="Y1" s="13"/>
      <c r="Z1" s="13"/>
      <c r="AA1" s="16" t="s">
        <v>0</v>
      </c>
      <c r="AB1" s="16" t="s">
        <v>1</v>
      </c>
      <c r="AC1" s="16" t="s">
        <v>2</v>
      </c>
      <c r="AD1" s="16" t="s">
        <v>3</v>
      </c>
      <c r="AE1" s="16" t="s">
        <v>4</v>
      </c>
      <c r="AF1" s="12"/>
      <c r="AG1" s="12"/>
      <c r="AH1" s="12"/>
      <c r="AI1" s="12"/>
      <c r="AJ1" s="12"/>
      <c r="AK1" s="12"/>
      <c r="AL1" s="12"/>
      <c r="AM1" s="12"/>
      <c r="AN1" s="12"/>
    </row>
    <row r="2" spans="1:40" ht="13.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7">
        <f aca="true" t="shared" si="0" ref="AA2:AA12">AE2*$C$8</f>
        <v>0</v>
      </c>
      <c r="AB2" s="17">
        <f aca="true" t="shared" si="1" ref="AB2:AB12">$C$9-$Z$19*AA2^2</f>
        <v>100</v>
      </c>
      <c r="AC2" s="17">
        <f aca="true" t="shared" si="2" ref="AC2:AC12">2*$Z$19*AA2</f>
        <v>0</v>
      </c>
      <c r="AD2" s="17"/>
      <c r="AE2" s="17">
        <v>0</v>
      </c>
      <c r="AF2" s="12"/>
      <c r="AG2" s="12"/>
      <c r="AH2" s="12"/>
      <c r="AI2" s="12"/>
      <c r="AJ2" s="12"/>
      <c r="AK2" s="12"/>
      <c r="AL2" s="12"/>
      <c r="AM2" s="12"/>
      <c r="AN2" s="12"/>
    </row>
    <row r="3" spans="1:40" ht="13.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7">
        <f t="shared" si="0"/>
        <v>5</v>
      </c>
      <c r="AB3" s="17">
        <f t="shared" si="1"/>
        <v>99</v>
      </c>
      <c r="AC3" s="17">
        <f t="shared" si="2"/>
        <v>0.4</v>
      </c>
      <c r="AD3" s="17">
        <f aca="true" t="shared" si="3" ref="AD3:AD12">-(AB3-AB2)/(AA3-AA2)</f>
        <v>0.2</v>
      </c>
      <c r="AE3" s="159">
        <f aca="true" t="shared" si="4" ref="AE3:AE12">AE2+0.1</f>
        <v>0.1</v>
      </c>
      <c r="AF3" s="12"/>
      <c r="AG3" s="12"/>
      <c r="AH3" s="12"/>
      <c r="AI3" s="12"/>
      <c r="AJ3" s="12"/>
      <c r="AK3" s="12"/>
      <c r="AL3" s="12"/>
      <c r="AM3" s="12"/>
      <c r="AN3" s="12"/>
    </row>
    <row r="4" spans="1:40" ht="13.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7">
        <f t="shared" si="0"/>
        <v>10</v>
      </c>
      <c r="AB4" s="17">
        <f t="shared" si="1"/>
        <v>96</v>
      </c>
      <c r="AC4" s="17">
        <f t="shared" si="2"/>
        <v>0.8</v>
      </c>
      <c r="AD4" s="17">
        <f t="shared" si="3"/>
        <v>0.6</v>
      </c>
      <c r="AE4" s="159">
        <f t="shared" si="4"/>
        <v>0.2</v>
      </c>
      <c r="AF4" s="12"/>
      <c r="AG4" s="12"/>
      <c r="AH4" s="12"/>
      <c r="AI4" s="12"/>
      <c r="AJ4" s="12"/>
      <c r="AK4" s="12"/>
      <c r="AL4" s="12"/>
      <c r="AM4" s="12"/>
      <c r="AN4" s="12"/>
    </row>
    <row r="5" spans="1:40" ht="13.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7">
        <f t="shared" si="0"/>
        <v>15.000000000000002</v>
      </c>
      <c r="AB5" s="17">
        <f t="shared" si="1"/>
        <v>91</v>
      </c>
      <c r="AC5" s="17">
        <f t="shared" si="2"/>
        <v>1.2000000000000002</v>
      </c>
      <c r="AD5" s="17">
        <f t="shared" si="3"/>
        <v>0.9999999999999997</v>
      </c>
      <c r="AE5" s="159">
        <f t="shared" si="4"/>
        <v>0.30000000000000004</v>
      </c>
      <c r="AF5" s="12"/>
      <c r="AG5" s="12"/>
      <c r="AH5" s="12"/>
      <c r="AI5" s="12"/>
      <c r="AJ5" s="12"/>
      <c r="AK5" s="12"/>
      <c r="AL5" s="12"/>
      <c r="AM5" s="12"/>
      <c r="AN5" s="12"/>
    </row>
    <row r="6" spans="1:40" ht="13.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7">
        <f t="shared" si="0"/>
        <v>20</v>
      </c>
      <c r="AB6" s="17">
        <f t="shared" si="1"/>
        <v>84</v>
      </c>
      <c r="AC6" s="17">
        <f t="shared" si="2"/>
        <v>1.6</v>
      </c>
      <c r="AD6" s="17">
        <f t="shared" si="3"/>
        <v>1.4000000000000006</v>
      </c>
      <c r="AE6" s="159">
        <f t="shared" si="4"/>
        <v>0.4</v>
      </c>
      <c r="AF6" s="12"/>
      <c r="AG6" s="12"/>
      <c r="AH6" s="12"/>
      <c r="AI6" s="12"/>
      <c r="AJ6" s="12"/>
      <c r="AK6" s="12"/>
      <c r="AL6" s="12"/>
      <c r="AM6" s="12"/>
      <c r="AN6" s="12"/>
    </row>
    <row r="7" spans="1:40" ht="13.5" customHeight="1" thickBot="1">
      <c r="A7" s="201" t="s">
        <v>182</v>
      </c>
      <c r="B7" s="201"/>
      <c r="C7" s="201"/>
      <c r="D7" s="12"/>
      <c r="E7" s="12"/>
      <c r="F7" s="12"/>
      <c r="G7" s="12"/>
      <c r="H7" s="12"/>
      <c r="I7" s="12"/>
      <c r="J7" s="12"/>
      <c r="K7" s="12"/>
      <c r="L7" s="12"/>
      <c r="M7" s="12"/>
      <c r="N7" s="12"/>
      <c r="O7" s="12"/>
      <c r="P7" s="12"/>
      <c r="Q7" s="12"/>
      <c r="R7" s="12"/>
      <c r="S7" s="12"/>
      <c r="T7" s="12"/>
      <c r="U7" s="12"/>
      <c r="V7" s="12"/>
      <c r="W7" s="12"/>
      <c r="X7" s="12"/>
      <c r="Y7" s="12"/>
      <c r="Z7" s="12"/>
      <c r="AA7" s="17">
        <f t="shared" si="0"/>
        <v>25</v>
      </c>
      <c r="AB7" s="17">
        <f t="shared" si="1"/>
        <v>75</v>
      </c>
      <c r="AC7" s="17">
        <f t="shared" si="2"/>
        <v>2</v>
      </c>
      <c r="AD7" s="17">
        <f t="shared" si="3"/>
        <v>1.8</v>
      </c>
      <c r="AE7" s="159">
        <f t="shared" si="4"/>
        <v>0.5</v>
      </c>
      <c r="AF7" s="12"/>
      <c r="AG7" s="12"/>
      <c r="AH7" s="12"/>
      <c r="AI7" s="12"/>
      <c r="AJ7" s="12"/>
      <c r="AK7" s="12"/>
      <c r="AL7" s="12"/>
      <c r="AM7" s="12"/>
      <c r="AN7" s="12"/>
    </row>
    <row r="8" spans="1:40" ht="13.5" customHeight="1" thickTop="1">
      <c r="A8" s="202" t="s">
        <v>6</v>
      </c>
      <c r="B8" s="202"/>
      <c r="C8" s="10">
        <v>50</v>
      </c>
      <c r="D8" s="12"/>
      <c r="E8" s="12"/>
      <c r="F8" s="12"/>
      <c r="G8" s="12"/>
      <c r="H8" s="12"/>
      <c r="I8" s="12"/>
      <c r="J8" s="12"/>
      <c r="K8" s="12"/>
      <c r="L8" s="12"/>
      <c r="M8" s="12"/>
      <c r="N8" s="12"/>
      <c r="O8" s="12"/>
      <c r="P8" s="12"/>
      <c r="Q8" s="12"/>
      <c r="R8" s="12"/>
      <c r="S8" s="12"/>
      <c r="T8" s="12"/>
      <c r="U8" s="12"/>
      <c r="V8" s="12"/>
      <c r="W8" s="12"/>
      <c r="X8" s="12"/>
      <c r="Y8" s="12"/>
      <c r="Z8" s="12"/>
      <c r="AA8" s="17">
        <f t="shared" si="0"/>
        <v>30</v>
      </c>
      <c r="AB8" s="17">
        <f t="shared" si="1"/>
        <v>64</v>
      </c>
      <c r="AC8" s="17">
        <f t="shared" si="2"/>
        <v>2.4</v>
      </c>
      <c r="AD8" s="17">
        <f t="shared" si="3"/>
        <v>2.2</v>
      </c>
      <c r="AE8" s="159">
        <f t="shared" si="4"/>
        <v>0.6</v>
      </c>
      <c r="AF8" s="12"/>
      <c r="AG8" s="12"/>
      <c r="AH8" s="12"/>
      <c r="AI8" s="12"/>
      <c r="AJ8" s="12"/>
      <c r="AK8" s="12"/>
      <c r="AL8" s="12"/>
      <c r="AM8" s="12"/>
      <c r="AN8" s="12"/>
    </row>
    <row r="9" spans="1:40" ht="13.5" customHeight="1">
      <c r="A9" s="203" t="s">
        <v>7</v>
      </c>
      <c r="B9" s="203"/>
      <c r="C9" s="11">
        <v>100</v>
      </c>
      <c r="D9" s="12"/>
      <c r="E9" s="12"/>
      <c r="F9" s="12"/>
      <c r="G9" s="12"/>
      <c r="H9" s="12"/>
      <c r="I9" s="12"/>
      <c r="J9" s="12"/>
      <c r="K9" s="12"/>
      <c r="L9" s="12"/>
      <c r="M9" s="12"/>
      <c r="N9" s="12"/>
      <c r="O9" s="12"/>
      <c r="P9" s="12"/>
      <c r="Q9" s="12"/>
      <c r="R9" s="12"/>
      <c r="S9" s="12"/>
      <c r="T9" s="12"/>
      <c r="U9" s="12"/>
      <c r="V9" s="12"/>
      <c r="W9" s="12"/>
      <c r="X9" s="12"/>
      <c r="Y9" s="12"/>
      <c r="Z9" s="12"/>
      <c r="AA9" s="17">
        <f t="shared" si="0"/>
        <v>35</v>
      </c>
      <c r="AB9" s="17">
        <f t="shared" si="1"/>
        <v>51</v>
      </c>
      <c r="AC9" s="17">
        <f t="shared" si="2"/>
        <v>2.8000000000000003</v>
      </c>
      <c r="AD9" s="17">
        <f t="shared" si="3"/>
        <v>2.6</v>
      </c>
      <c r="AE9" s="159">
        <f t="shared" si="4"/>
        <v>0.7</v>
      </c>
      <c r="AF9" s="12"/>
      <c r="AG9" s="12"/>
      <c r="AH9" s="12"/>
      <c r="AI9" s="12"/>
      <c r="AJ9" s="12"/>
      <c r="AK9" s="12"/>
      <c r="AL9" s="12"/>
      <c r="AM9" s="12"/>
      <c r="AN9" s="12"/>
    </row>
    <row r="10" spans="1:40" ht="13.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7">
        <f t="shared" si="0"/>
        <v>40</v>
      </c>
      <c r="AB10" s="17">
        <f t="shared" si="1"/>
        <v>36</v>
      </c>
      <c r="AC10" s="17">
        <f t="shared" si="2"/>
        <v>3.2</v>
      </c>
      <c r="AD10" s="17">
        <f t="shared" si="3"/>
        <v>3</v>
      </c>
      <c r="AE10" s="159">
        <f t="shared" si="4"/>
        <v>0.7999999999999999</v>
      </c>
      <c r="AF10" s="12"/>
      <c r="AG10" s="12"/>
      <c r="AH10" s="12"/>
      <c r="AI10" s="12"/>
      <c r="AJ10" s="12"/>
      <c r="AK10" s="12"/>
      <c r="AL10" s="12"/>
      <c r="AM10" s="12"/>
      <c r="AN10" s="12"/>
    </row>
    <row r="11" spans="1:40" ht="13.5" customHeight="1">
      <c r="A11" s="14" t="str">
        <f>IF(C8&gt;50,"The value for Maximum X must be &lt;=50"," ")</f>
        <v> </v>
      </c>
      <c r="B11" s="15"/>
      <c r="C11" s="12"/>
      <c r="D11" s="12"/>
      <c r="E11" s="12"/>
      <c r="F11" s="12"/>
      <c r="G11" s="12"/>
      <c r="H11" s="12"/>
      <c r="I11" s="12"/>
      <c r="J11" s="12"/>
      <c r="K11" s="12"/>
      <c r="L11" s="12"/>
      <c r="M11" s="12"/>
      <c r="N11" s="12"/>
      <c r="O11" s="12"/>
      <c r="P11" s="12"/>
      <c r="Q11" s="12"/>
      <c r="R11" s="12"/>
      <c r="S11" s="12"/>
      <c r="T11" s="12"/>
      <c r="U11" s="12"/>
      <c r="V11" s="12"/>
      <c r="W11" s="12"/>
      <c r="X11" s="12"/>
      <c r="Y11" s="12"/>
      <c r="Z11" s="12"/>
      <c r="AA11" s="17">
        <f t="shared" si="0"/>
        <v>44.99999999999999</v>
      </c>
      <c r="AB11" s="17">
        <f t="shared" si="1"/>
        <v>19.00000000000003</v>
      </c>
      <c r="AC11" s="17">
        <f t="shared" si="2"/>
        <v>3.5999999999999996</v>
      </c>
      <c r="AD11" s="17">
        <f t="shared" si="3"/>
        <v>3.399999999999999</v>
      </c>
      <c r="AE11" s="159">
        <f t="shared" si="4"/>
        <v>0.8999999999999999</v>
      </c>
      <c r="AF11" s="12"/>
      <c r="AG11" s="12"/>
      <c r="AH11" s="12"/>
      <c r="AI11" s="12"/>
      <c r="AJ11" s="12"/>
      <c r="AK11" s="12"/>
      <c r="AL11" s="12"/>
      <c r="AM11" s="12"/>
      <c r="AN11" s="12"/>
    </row>
    <row r="12" spans="1:40" ht="13.5" customHeight="1">
      <c r="A12" s="14" t="str">
        <f>IF(C9&gt;100,"The value for Maximum Y must be &lt;=100"," ")</f>
        <v> </v>
      </c>
      <c r="B12" s="15"/>
      <c r="C12" s="12"/>
      <c r="D12" s="12"/>
      <c r="E12" s="12"/>
      <c r="F12" s="12"/>
      <c r="G12" s="12"/>
      <c r="H12" s="12"/>
      <c r="I12" s="12"/>
      <c r="J12" s="12"/>
      <c r="K12" s="12"/>
      <c r="L12" s="12"/>
      <c r="M12" s="12"/>
      <c r="N12" s="12"/>
      <c r="O12" s="12"/>
      <c r="P12" s="12"/>
      <c r="Q12" s="12"/>
      <c r="R12" s="12"/>
      <c r="S12" s="12"/>
      <c r="T12" s="12"/>
      <c r="U12" s="12"/>
      <c r="V12" s="12"/>
      <c r="W12" s="12"/>
      <c r="X12" s="12"/>
      <c r="Y12" s="12"/>
      <c r="Z12" s="12"/>
      <c r="AA12" s="17">
        <f t="shared" si="0"/>
        <v>49.99999999999999</v>
      </c>
      <c r="AB12" s="17">
        <f t="shared" si="1"/>
        <v>0</v>
      </c>
      <c r="AC12" s="17">
        <f t="shared" si="2"/>
        <v>3.9999999999999996</v>
      </c>
      <c r="AD12" s="17">
        <f t="shared" si="3"/>
        <v>3.8000000000000056</v>
      </c>
      <c r="AE12" s="159">
        <f t="shared" si="4"/>
        <v>0.9999999999999999</v>
      </c>
      <c r="AF12" s="12"/>
      <c r="AG12" s="12"/>
      <c r="AH12" s="12"/>
      <c r="AI12" s="12"/>
      <c r="AJ12" s="12"/>
      <c r="AK12" s="12"/>
      <c r="AL12" s="12"/>
      <c r="AM12" s="12"/>
      <c r="AN12" s="12"/>
    </row>
    <row r="13" spans="1:40" ht="13.5" customHeight="1">
      <c r="A13" s="12"/>
      <c r="B13" s="15"/>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row>
    <row r="14" spans="1:40" ht="13.5" customHeight="1">
      <c r="A14" s="12"/>
      <c r="B14" s="15"/>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row>
    <row r="15" spans="1:40" ht="13.5"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row>
    <row r="16" spans="1:40" ht="13.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40" ht="13.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row>
    <row r="18" spans="1:40" ht="13.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spans="1:40" ht="13.5" customHeight="1">
      <c r="A19" s="12"/>
      <c r="B19" s="12"/>
      <c r="C19" s="12"/>
      <c r="D19" s="12"/>
      <c r="E19" s="12"/>
      <c r="F19" s="12"/>
      <c r="G19" s="12"/>
      <c r="H19" s="12"/>
      <c r="I19" s="12"/>
      <c r="J19" s="12"/>
      <c r="K19" s="12"/>
      <c r="L19" s="12"/>
      <c r="M19" s="12"/>
      <c r="N19" s="12"/>
      <c r="O19" s="12"/>
      <c r="P19" s="12"/>
      <c r="Q19" s="12"/>
      <c r="R19" s="12"/>
      <c r="S19" s="12"/>
      <c r="T19" s="12"/>
      <c r="U19" s="12"/>
      <c r="V19" s="12"/>
      <c r="W19" s="12"/>
      <c r="X19" s="204" t="s">
        <v>8</v>
      </c>
      <c r="Y19" s="204"/>
      <c r="Z19" s="12">
        <f>$C$9/$C$8^2</f>
        <v>0.04</v>
      </c>
      <c r="AA19" s="12"/>
      <c r="AB19" s="12"/>
      <c r="AC19" s="12"/>
      <c r="AD19" s="12"/>
      <c r="AE19" s="12"/>
      <c r="AF19" s="12"/>
      <c r="AG19" s="12"/>
      <c r="AH19" s="12"/>
      <c r="AI19" s="12"/>
      <c r="AJ19" s="12"/>
      <c r="AK19" s="12"/>
      <c r="AL19" s="12"/>
      <c r="AM19" s="12"/>
      <c r="AN19" s="12"/>
    </row>
    <row r="20" spans="1:40" ht="13.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row>
    <row r="21" spans="1:40" ht="13.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row>
    <row r="22" spans="1:40"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row>
    <row r="23" spans="1:40" ht="13.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row>
    <row r="24" spans="1:40" ht="13.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row>
    <row r="25" spans="1:40" ht="13.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row>
    <row r="26" spans="1:40"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spans="1:40" ht="13.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1:40" ht="13.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row>
    <row r="29" spans="1:40" ht="13.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row>
    <row r="30" spans="1:40"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row>
    <row r="31" spans="1:40" ht="13.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1:40" ht="13.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3.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1:40" ht="13.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40"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row>
    <row r="36" spans="1:40"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row>
    <row r="37" spans="1:40"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40" ht="13.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ht="13.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3.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3.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3.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0" ht="13.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3.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3.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40" ht="13.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1:40" ht="13.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40" ht="13.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row>
    <row r="49" spans="1:40" ht="13.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row>
    <row r="50" spans="1:40" ht="13.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row>
  </sheetData>
  <mergeCells count="4">
    <mergeCell ref="A7:C7"/>
    <mergeCell ref="A8:B8"/>
    <mergeCell ref="A9:B9"/>
    <mergeCell ref="X19:Y19"/>
  </mergeCells>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N50"/>
  <sheetViews>
    <sheetView workbookViewId="0" topLeftCell="A1">
      <selection activeCell="A1" sqref="A1:C1"/>
    </sheetView>
  </sheetViews>
  <sheetFormatPr defaultColWidth="9.140625" defaultRowHeight="12.75"/>
  <cols>
    <col min="30" max="31" width="13.00390625" style="0" bestFit="1" customWidth="1"/>
    <col min="32" max="32" width="8.7109375" style="0" bestFit="1" customWidth="1"/>
  </cols>
  <sheetData>
    <row r="1" spans="1:40" ht="13.5" customHeight="1" thickTop="1">
      <c r="A1" s="205" t="s">
        <v>183</v>
      </c>
      <c r="B1" s="206"/>
      <c r="C1" s="207"/>
      <c r="D1" s="20"/>
      <c r="E1" s="20"/>
      <c r="F1" s="20"/>
      <c r="G1" s="20"/>
      <c r="H1" s="20"/>
      <c r="I1" s="20"/>
      <c r="J1" s="20"/>
      <c r="K1" s="20"/>
      <c r="L1" s="20"/>
      <c r="M1" s="20"/>
      <c r="N1" s="18"/>
      <c r="O1" s="18"/>
      <c r="P1" s="18"/>
      <c r="Q1" s="18"/>
      <c r="R1" s="18"/>
      <c r="S1" s="18"/>
      <c r="T1" s="18"/>
      <c r="U1" s="18"/>
      <c r="V1" s="18"/>
      <c r="W1" s="18"/>
      <c r="X1" s="18"/>
      <c r="Y1" s="18"/>
      <c r="Z1" s="20"/>
      <c r="AA1" s="24"/>
      <c r="AB1" s="24" t="s">
        <v>11</v>
      </c>
      <c r="AC1" s="24" t="s">
        <v>12</v>
      </c>
      <c r="AD1" s="24" t="s">
        <v>13</v>
      </c>
      <c r="AE1" s="24" t="s">
        <v>14</v>
      </c>
      <c r="AF1" s="24" t="s">
        <v>13</v>
      </c>
      <c r="AG1" s="24" t="s">
        <v>14</v>
      </c>
      <c r="AH1" s="20"/>
      <c r="AI1" s="20"/>
      <c r="AJ1" s="20"/>
      <c r="AK1" s="20"/>
      <c r="AL1" s="20"/>
      <c r="AM1" s="20"/>
      <c r="AN1" s="20"/>
    </row>
    <row r="2" spans="1:40" ht="13.5" customHeight="1">
      <c r="A2" s="209" t="s">
        <v>9</v>
      </c>
      <c r="B2" s="210"/>
      <c r="C2" s="84">
        <f>'A Nonlinear PPC'!C8</f>
        <v>50</v>
      </c>
      <c r="D2" s="20"/>
      <c r="E2" s="20"/>
      <c r="F2" s="20"/>
      <c r="G2" s="20"/>
      <c r="H2" s="20"/>
      <c r="I2" s="20"/>
      <c r="J2" s="20"/>
      <c r="K2" s="20"/>
      <c r="L2" s="20"/>
      <c r="M2" s="20"/>
      <c r="N2" s="20"/>
      <c r="O2" s="20"/>
      <c r="P2" s="20"/>
      <c r="Q2" s="20"/>
      <c r="R2" s="20"/>
      <c r="S2" s="20"/>
      <c r="T2" s="20"/>
      <c r="U2" s="20"/>
      <c r="V2" s="20"/>
      <c r="W2" s="20"/>
      <c r="X2" s="20"/>
      <c r="Y2" s="20"/>
      <c r="Z2" s="20"/>
      <c r="AA2" s="25" t="s">
        <v>0</v>
      </c>
      <c r="AB2" s="25" t="s">
        <v>16</v>
      </c>
      <c r="AC2" s="25" t="s">
        <v>17</v>
      </c>
      <c r="AD2" s="25" t="s">
        <v>18</v>
      </c>
      <c r="AE2" s="25" t="s">
        <v>18</v>
      </c>
      <c r="AF2" s="25" t="s">
        <v>3</v>
      </c>
      <c r="AG2" s="25" t="s">
        <v>3</v>
      </c>
      <c r="AH2" s="20"/>
      <c r="AI2" s="20"/>
      <c r="AJ2" s="20"/>
      <c r="AK2" s="20"/>
      <c r="AL2" s="20"/>
      <c r="AM2" s="20"/>
      <c r="AN2" s="20"/>
    </row>
    <row r="3" spans="1:40" ht="13.5" customHeight="1" thickBot="1">
      <c r="A3" s="211" t="s">
        <v>10</v>
      </c>
      <c r="B3" s="212"/>
      <c r="C3" s="85">
        <f>'A Nonlinear PPC'!C9</f>
        <v>100</v>
      </c>
      <c r="D3" s="21"/>
      <c r="E3" s="20"/>
      <c r="F3" s="20"/>
      <c r="G3" s="20"/>
      <c r="H3" s="20"/>
      <c r="I3" s="20"/>
      <c r="J3" s="20"/>
      <c r="K3" s="20"/>
      <c r="L3" s="20"/>
      <c r="M3" s="20"/>
      <c r="N3" s="20"/>
      <c r="O3" s="20"/>
      <c r="P3" s="20"/>
      <c r="Q3" s="20"/>
      <c r="R3" s="20"/>
      <c r="S3" s="20"/>
      <c r="T3" s="20"/>
      <c r="U3" s="20"/>
      <c r="V3" s="20"/>
      <c r="W3" s="20"/>
      <c r="X3" s="20"/>
      <c r="Y3" s="20"/>
      <c r="Z3" s="20"/>
      <c r="AA3" s="19">
        <v>0</v>
      </c>
      <c r="AB3" s="19">
        <f>$C$3-$X$22*AA3^2</f>
        <v>100</v>
      </c>
      <c r="AC3" s="19">
        <f>$C$7-$Y$22*AA3^2</f>
        <v>100</v>
      </c>
      <c r="AD3" s="19">
        <f aca="true" t="shared" si="0" ref="AD3:AD13">IF(AB2&gt;0,2*$X$22*AA3,"")</f>
        <v>0</v>
      </c>
      <c r="AE3" s="19">
        <f aca="true" t="shared" si="1" ref="AE3:AE13">IF(AC2&gt;0,2*$Y$22*AA3,"")</f>
        <v>0</v>
      </c>
      <c r="AF3" s="19"/>
      <c r="AG3" s="19"/>
      <c r="AH3" s="20"/>
      <c r="AI3" s="20"/>
      <c r="AJ3" s="20"/>
      <c r="AK3" s="20"/>
      <c r="AL3" s="20"/>
      <c r="AM3" s="20"/>
      <c r="AN3" s="20"/>
    </row>
    <row r="4" spans="1:40" ht="13.5" customHeight="1" thickTop="1">
      <c r="A4" s="22"/>
      <c r="B4" s="22"/>
      <c r="C4" s="22"/>
      <c r="D4" s="21"/>
      <c r="E4" s="20"/>
      <c r="F4" s="20"/>
      <c r="G4" s="20"/>
      <c r="H4" s="20"/>
      <c r="I4" s="20"/>
      <c r="J4" s="20"/>
      <c r="K4" s="20"/>
      <c r="L4" s="20"/>
      <c r="M4" s="20"/>
      <c r="N4" s="20"/>
      <c r="O4" s="20"/>
      <c r="P4" s="20"/>
      <c r="Q4" s="20"/>
      <c r="R4" s="20"/>
      <c r="S4" s="20"/>
      <c r="T4" s="20"/>
      <c r="U4" s="20"/>
      <c r="V4" s="20"/>
      <c r="W4" s="20"/>
      <c r="X4" s="20"/>
      <c r="Y4" s="20"/>
      <c r="Z4" s="20"/>
      <c r="AA4" s="19">
        <v>10</v>
      </c>
      <c r="AB4" s="19">
        <f aca="true" t="shared" si="2" ref="AB4:AB13">$C$3-$X$22*AA4^2</f>
        <v>96</v>
      </c>
      <c r="AC4" s="19">
        <f aca="true" t="shared" si="3" ref="AC4:AC13">$C$7-$Y$22*AA4^2</f>
        <v>96</v>
      </c>
      <c r="AD4" s="19">
        <f t="shared" si="0"/>
        <v>0.8</v>
      </c>
      <c r="AE4" s="19">
        <f t="shared" si="1"/>
        <v>0.8</v>
      </c>
      <c r="AF4" s="19">
        <f aca="true" t="shared" si="4" ref="AF4:AF13">IF(AB3&gt;0,-(AB4-AB3)/(AA4-AA3),"")</f>
        <v>0.4</v>
      </c>
      <c r="AG4" s="19">
        <f aca="true" t="shared" si="5" ref="AG4:AG13">IF(AC3&gt;0,-(AC4-AC3)/(AA4-AA3),"")</f>
        <v>0.4</v>
      </c>
      <c r="AH4" s="20"/>
      <c r="AI4" s="20"/>
      <c r="AJ4" s="20"/>
      <c r="AK4" s="20"/>
      <c r="AL4" s="20"/>
      <c r="AM4" s="20"/>
      <c r="AN4" s="20"/>
    </row>
    <row r="5" spans="1:40" ht="13.5" customHeight="1" thickBot="1">
      <c r="A5" s="213" t="s">
        <v>15</v>
      </c>
      <c r="B5" s="213"/>
      <c r="C5" s="213"/>
      <c r="D5" s="21"/>
      <c r="E5" s="20"/>
      <c r="F5" s="20"/>
      <c r="G5" s="20"/>
      <c r="H5" s="20"/>
      <c r="I5" s="20"/>
      <c r="J5" s="20"/>
      <c r="K5" s="20"/>
      <c r="L5" s="20"/>
      <c r="M5" s="20"/>
      <c r="N5" s="20"/>
      <c r="O5" s="20"/>
      <c r="P5" s="20"/>
      <c r="Q5" s="20"/>
      <c r="R5" s="20"/>
      <c r="S5" s="20"/>
      <c r="T5" s="20"/>
      <c r="U5" s="20"/>
      <c r="V5" s="20"/>
      <c r="W5" s="20"/>
      <c r="X5" s="20"/>
      <c r="Y5" s="20"/>
      <c r="Z5" s="20"/>
      <c r="AA5" s="19">
        <v>20</v>
      </c>
      <c r="AB5" s="19">
        <f t="shared" si="2"/>
        <v>84</v>
      </c>
      <c r="AC5" s="19">
        <f t="shared" si="3"/>
        <v>84</v>
      </c>
      <c r="AD5" s="19">
        <f t="shared" si="0"/>
        <v>1.6</v>
      </c>
      <c r="AE5" s="19">
        <f t="shared" si="1"/>
        <v>1.6</v>
      </c>
      <c r="AF5" s="19">
        <f t="shared" si="4"/>
        <v>1.2</v>
      </c>
      <c r="AG5" s="19">
        <f t="shared" si="5"/>
        <v>1.2</v>
      </c>
      <c r="AH5" s="20"/>
      <c r="AI5" s="20"/>
      <c r="AJ5" s="20"/>
      <c r="AK5" s="20"/>
      <c r="AL5" s="20"/>
      <c r="AM5" s="20"/>
      <c r="AN5" s="20"/>
    </row>
    <row r="6" spans="1:40" ht="13.5" customHeight="1" thickTop="1">
      <c r="A6" s="214" t="s">
        <v>19</v>
      </c>
      <c r="B6" s="214"/>
      <c r="C6" s="23">
        <v>50</v>
      </c>
      <c r="D6" s="21"/>
      <c r="E6" s="20"/>
      <c r="F6" s="20"/>
      <c r="G6" s="20"/>
      <c r="H6" s="20"/>
      <c r="I6" s="20"/>
      <c r="J6" s="20"/>
      <c r="K6" s="20"/>
      <c r="L6" s="20"/>
      <c r="M6" s="20"/>
      <c r="N6" s="20"/>
      <c r="O6" s="20"/>
      <c r="P6" s="20"/>
      <c r="Q6" s="20"/>
      <c r="R6" s="20"/>
      <c r="S6" s="20"/>
      <c r="T6" s="20"/>
      <c r="U6" s="20"/>
      <c r="V6" s="20"/>
      <c r="W6" s="20"/>
      <c r="X6" s="20"/>
      <c r="Y6" s="20"/>
      <c r="Z6" s="20"/>
      <c r="AA6" s="19">
        <v>30</v>
      </c>
      <c r="AB6" s="19">
        <f t="shared" si="2"/>
        <v>64</v>
      </c>
      <c r="AC6" s="19">
        <f t="shared" si="3"/>
        <v>64</v>
      </c>
      <c r="AD6" s="19">
        <f t="shared" si="0"/>
        <v>2.4</v>
      </c>
      <c r="AE6" s="19">
        <f t="shared" si="1"/>
        <v>2.4</v>
      </c>
      <c r="AF6" s="19">
        <f t="shared" si="4"/>
        <v>2</v>
      </c>
      <c r="AG6" s="19">
        <f t="shared" si="5"/>
        <v>2</v>
      </c>
      <c r="AH6" s="20"/>
      <c r="AI6" s="20"/>
      <c r="AJ6" s="20"/>
      <c r="AK6" s="20"/>
      <c r="AL6" s="20"/>
      <c r="AM6" s="20"/>
      <c r="AN6" s="20"/>
    </row>
    <row r="7" spans="1:40" ht="13.5" customHeight="1">
      <c r="A7" s="203" t="s">
        <v>20</v>
      </c>
      <c r="B7" s="203"/>
      <c r="C7" s="11">
        <v>100</v>
      </c>
      <c r="D7" s="21"/>
      <c r="E7" s="20"/>
      <c r="F7" s="20"/>
      <c r="G7" s="20"/>
      <c r="H7" s="20"/>
      <c r="I7" s="20"/>
      <c r="J7" s="20"/>
      <c r="K7" s="20"/>
      <c r="L7" s="20"/>
      <c r="M7" s="20"/>
      <c r="N7" s="20"/>
      <c r="O7" s="20"/>
      <c r="P7" s="20"/>
      <c r="Q7" s="20"/>
      <c r="R7" s="20"/>
      <c r="S7" s="20"/>
      <c r="T7" s="20"/>
      <c r="U7" s="20"/>
      <c r="V7" s="20"/>
      <c r="W7" s="20"/>
      <c r="X7" s="20"/>
      <c r="Y7" s="20"/>
      <c r="Z7" s="20"/>
      <c r="AA7" s="19">
        <v>40</v>
      </c>
      <c r="AB7" s="19">
        <f t="shared" si="2"/>
        <v>36</v>
      </c>
      <c r="AC7" s="19">
        <f t="shared" si="3"/>
        <v>36</v>
      </c>
      <c r="AD7" s="19">
        <f t="shared" si="0"/>
        <v>3.2</v>
      </c>
      <c r="AE7" s="19">
        <f t="shared" si="1"/>
        <v>3.2</v>
      </c>
      <c r="AF7" s="19">
        <f t="shared" si="4"/>
        <v>2.8</v>
      </c>
      <c r="AG7" s="19">
        <f t="shared" si="5"/>
        <v>2.8</v>
      </c>
      <c r="AH7" s="20"/>
      <c r="AI7" s="20"/>
      <c r="AJ7" s="20"/>
      <c r="AK7" s="20"/>
      <c r="AL7" s="20"/>
      <c r="AM7" s="20"/>
      <c r="AN7" s="20"/>
    </row>
    <row r="8" spans="1:40" ht="13.5" customHeight="1">
      <c r="A8" s="22"/>
      <c r="B8" s="22"/>
      <c r="C8" s="22"/>
      <c r="D8" s="21"/>
      <c r="E8" s="20"/>
      <c r="F8" s="20"/>
      <c r="G8" s="20"/>
      <c r="H8" s="20"/>
      <c r="I8" s="20"/>
      <c r="J8" s="20"/>
      <c r="K8" s="20"/>
      <c r="L8" s="20"/>
      <c r="M8" s="20"/>
      <c r="N8" s="20"/>
      <c r="O8" s="20"/>
      <c r="P8" s="20"/>
      <c r="Q8" s="20"/>
      <c r="R8" s="20"/>
      <c r="S8" s="20"/>
      <c r="T8" s="20"/>
      <c r="U8" s="20"/>
      <c r="V8" s="20"/>
      <c r="W8" s="20"/>
      <c r="X8" s="20"/>
      <c r="Y8" s="20"/>
      <c r="Z8" s="20"/>
      <c r="AA8" s="19">
        <v>50</v>
      </c>
      <c r="AB8" s="19">
        <f t="shared" si="2"/>
        <v>0</v>
      </c>
      <c r="AC8" s="19">
        <f t="shared" si="3"/>
        <v>0</v>
      </c>
      <c r="AD8" s="19">
        <f t="shared" si="0"/>
        <v>4</v>
      </c>
      <c r="AE8" s="19">
        <f t="shared" si="1"/>
        <v>4</v>
      </c>
      <c r="AF8" s="19">
        <f t="shared" si="4"/>
        <v>3.6</v>
      </c>
      <c r="AG8" s="19">
        <f t="shared" si="5"/>
        <v>3.6</v>
      </c>
      <c r="AH8" s="20"/>
      <c r="AI8" s="20"/>
      <c r="AJ8" s="20"/>
      <c r="AK8" s="20"/>
      <c r="AL8" s="20"/>
      <c r="AM8" s="20"/>
      <c r="AN8" s="20"/>
    </row>
    <row r="9" spans="1:40" ht="13.5" customHeight="1">
      <c r="A9" s="22"/>
      <c r="B9" s="22"/>
      <c r="C9" s="22"/>
      <c r="D9" s="21"/>
      <c r="E9" s="20"/>
      <c r="F9" s="20"/>
      <c r="G9" s="20"/>
      <c r="H9" s="20"/>
      <c r="I9" s="20"/>
      <c r="J9" s="20"/>
      <c r="K9" s="20"/>
      <c r="L9" s="20"/>
      <c r="M9" s="20"/>
      <c r="N9" s="20"/>
      <c r="O9" s="20"/>
      <c r="P9" s="20"/>
      <c r="Q9" s="20"/>
      <c r="R9" s="20"/>
      <c r="S9" s="20"/>
      <c r="T9" s="20"/>
      <c r="U9" s="20"/>
      <c r="V9" s="20"/>
      <c r="W9" s="20"/>
      <c r="X9" s="20"/>
      <c r="Y9" s="20"/>
      <c r="Z9" s="20"/>
      <c r="AA9" s="19">
        <v>60</v>
      </c>
      <c r="AB9" s="19">
        <f t="shared" si="2"/>
        <v>-44</v>
      </c>
      <c r="AC9" s="19">
        <f t="shared" si="3"/>
        <v>-44</v>
      </c>
      <c r="AD9" s="19">
        <f t="shared" si="0"/>
      </c>
      <c r="AE9" s="19">
        <f t="shared" si="1"/>
      </c>
      <c r="AF9" s="19">
        <f t="shared" si="4"/>
      </c>
      <c r="AG9" s="19">
        <f t="shared" si="5"/>
      </c>
      <c r="AH9" s="20"/>
      <c r="AI9" s="20"/>
      <c r="AJ9" s="20"/>
      <c r="AK9" s="20"/>
      <c r="AL9" s="20"/>
      <c r="AM9" s="20"/>
      <c r="AN9" s="20"/>
    </row>
    <row r="10" spans="1:40" ht="13.5" customHeight="1">
      <c r="A10" s="22" t="str">
        <f>IF(C6&gt;100,"The value for maximum X must be &lt;=100"," ")</f>
        <v> </v>
      </c>
      <c r="B10" s="22"/>
      <c r="C10" s="22"/>
      <c r="D10" s="21"/>
      <c r="E10" s="20"/>
      <c r="F10" s="20"/>
      <c r="G10" s="20"/>
      <c r="H10" s="20"/>
      <c r="I10" s="20"/>
      <c r="J10" s="20"/>
      <c r="K10" s="20"/>
      <c r="L10" s="20"/>
      <c r="M10" s="20"/>
      <c r="N10" s="20"/>
      <c r="O10" s="20"/>
      <c r="P10" s="20"/>
      <c r="Q10" s="20"/>
      <c r="R10" s="20"/>
      <c r="S10" s="20"/>
      <c r="T10" s="20"/>
      <c r="U10" s="20"/>
      <c r="V10" s="20"/>
      <c r="W10" s="20"/>
      <c r="X10" s="20"/>
      <c r="Y10" s="20"/>
      <c r="Z10" s="20"/>
      <c r="AA10" s="19">
        <v>70</v>
      </c>
      <c r="AB10" s="19">
        <f t="shared" si="2"/>
        <v>-96</v>
      </c>
      <c r="AC10" s="19">
        <f t="shared" si="3"/>
        <v>-96</v>
      </c>
      <c r="AD10" s="19">
        <f t="shared" si="0"/>
      </c>
      <c r="AE10" s="19">
        <f t="shared" si="1"/>
      </c>
      <c r="AF10" s="19">
        <f t="shared" si="4"/>
      </c>
      <c r="AG10" s="19">
        <f t="shared" si="5"/>
      </c>
      <c r="AH10" s="20"/>
      <c r="AI10" s="20"/>
      <c r="AJ10" s="20"/>
      <c r="AK10" s="20"/>
      <c r="AL10" s="20"/>
      <c r="AM10" s="20"/>
      <c r="AN10" s="20"/>
    </row>
    <row r="11" spans="1:40" ht="13.5" customHeight="1">
      <c r="A11" s="22" t="str">
        <f>IF(C7&gt;200,"The value for maximum X must be &lt;=200"," ")</f>
        <v> </v>
      </c>
      <c r="B11" s="22"/>
      <c r="C11" s="22"/>
      <c r="D11" s="21"/>
      <c r="E11" s="20"/>
      <c r="F11" s="20"/>
      <c r="G11" s="20"/>
      <c r="H11" s="20"/>
      <c r="I11" s="20"/>
      <c r="J11" s="20"/>
      <c r="K11" s="20"/>
      <c r="L11" s="20"/>
      <c r="M11" s="20"/>
      <c r="N11" s="20"/>
      <c r="O11" s="20"/>
      <c r="P11" s="20"/>
      <c r="Q11" s="20"/>
      <c r="R11" s="20"/>
      <c r="S11" s="20"/>
      <c r="T11" s="20"/>
      <c r="U11" s="20"/>
      <c r="V11" s="20"/>
      <c r="W11" s="20"/>
      <c r="X11" s="20"/>
      <c r="Y11" s="20"/>
      <c r="Z11" s="20"/>
      <c r="AA11" s="19">
        <v>80</v>
      </c>
      <c r="AB11" s="19">
        <f t="shared" si="2"/>
        <v>-156</v>
      </c>
      <c r="AC11" s="19">
        <f t="shared" si="3"/>
        <v>-156</v>
      </c>
      <c r="AD11" s="19">
        <f t="shared" si="0"/>
      </c>
      <c r="AE11" s="19">
        <f t="shared" si="1"/>
      </c>
      <c r="AF11" s="19">
        <f t="shared" si="4"/>
      </c>
      <c r="AG11" s="19">
        <f t="shared" si="5"/>
      </c>
      <c r="AH11" s="20"/>
      <c r="AI11" s="20"/>
      <c r="AJ11" s="20"/>
      <c r="AK11" s="20"/>
      <c r="AL11" s="20"/>
      <c r="AM11" s="20"/>
      <c r="AN11" s="20"/>
    </row>
    <row r="12" spans="1:40" ht="13.5" customHeight="1">
      <c r="A12" s="22"/>
      <c r="B12" s="22"/>
      <c r="C12" s="22"/>
      <c r="D12" s="21"/>
      <c r="E12" s="20"/>
      <c r="F12" s="20"/>
      <c r="G12" s="20"/>
      <c r="H12" s="20"/>
      <c r="I12" s="20"/>
      <c r="J12" s="20"/>
      <c r="K12" s="20"/>
      <c r="L12" s="20"/>
      <c r="M12" s="20"/>
      <c r="N12" s="20"/>
      <c r="O12" s="20"/>
      <c r="P12" s="20"/>
      <c r="Q12" s="20"/>
      <c r="R12" s="20"/>
      <c r="S12" s="20"/>
      <c r="T12" s="20"/>
      <c r="U12" s="20"/>
      <c r="V12" s="20"/>
      <c r="W12" s="20"/>
      <c r="X12" s="20"/>
      <c r="Y12" s="20"/>
      <c r="Z12" s="20"/>
      <c r="AA12" s="19">
        <v>90</v>
      </c>
      <c r="AB12" s="19">
        <f t="shared" si="2"/>
        <v>-224</v>
      </c>
      <c r="AC12" s="19">
        <f t="shared" si="3"/>
        <v>-224</v>
      </c>
      <c r="AD12" s="19">
        <f t="shared" si="0"/>
      </c>
      <c r="AE12" s="19">
        <f t="shared" si="1"/>
      </c>
      <c r="AF12" s="19">
        <f t="shared" si="4"/>
      </c>
      <c r="AG12" s="19">
        <f t="shared" si="5"/>
      </c>
      <c r="AH12" s="20"/>
      <c r="AI12" s="20"/>
      <c r="AJ12" s="20"/>
      <c r="AK12" s="20"/>
      <c r="AL12" s="20"/>
      <c r="AM12" s="20"/>
      <c r="AN12" s="20"/>
    </row>
    <row r="13" spans="1:40" ht="13.5" customHeight="1">
      <c r="A13" s="22"/>
      <c r="B13" s="22"/>
      <c r="C13" s="22"/>
      <c r="D13" s="21"/>
      <c r="E13" s="20"/>
      <c r="F13" s="20"/>
      <c r="G13" s="20"/>
      <c r="H13" s="20"/>
      <c r="I13" s="20"/>
      <c r="J13" s="20"/>
      <c r="K13" s="20"/>
      <c r="L13" s="20"/>
      <c r="M13" s="20"/>
      <c r="N13" s="20"/>
      <c r="O13" s="20"/>
      <c r="P13" s="20"/>
      <c r="Q13" s="20"/>
      <c r="R13" s="20"/>
      <c r="S13" s="20"/>
      <c r="T13" s="20"/>
      <c r="U13" s="20"/>
      <c r="V13" s="20"/>
      <c r="W13" s="20"/>
      <c r="X13" s="20"/>
      <c r="Y13" s="20"/>
      <c r="Z13" s="20"/>
      <c r="AA13" s="19">
        <v>100</v>
      </c>
      <c r="AB13" s="19">
        <f t="shared" si="2"/>
        <v>-300</v>
      </c>
      <c r="AC13" s="19">
        <f t="shared" si="3"/>
        <v>-300</v>
      </c>
      <c r="AD13" s="19">
        <f t="shared" si="0"/>
      </c>
      <c r="AE13" s="19">
        <f t="shared" si="1"/>
      </c>
      <c r="AF13" s="19">
        <f t="shared" si="4"/>
      </c>
      <c r="AG13" s="19">
        <f t="shared" si="5"/>
      </c>
      <c r="AH13" s="20"/>
      <c r="AI13" s="20"/>
      <c r="AJ13" s="20"/>
      <c r="AK13" s="20"/>
      <c r="AL13" s="20"/>
      <c r="AM13" s="20"/>
      <c r="AN13" s="20"/>
    </row>
    <row r="14" spans="1:40" ht="13.5" customHeight="1">
      <c r="A14" s="22"/>
      <c r="B14" s="22"/>
      <c r="C14" s="22"/>
      <c r="D14" s="21"/>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40" ht="13.5" customHeight="1">
      <c r="A15" s="20"/>
      <c r="B15" s="20"/>
      <c r="C15" s="20"/>
      <c r="D15" s="21"/>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pans="1:40" ht="13.5" customHeight="1">
      <c r="A16" s="21"/>
      <c r="B16" s="21"/>
      <c r="C16" s="21"/>
      <c r="D16" s="21"/>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ht="13.5" customHeight="1">
      <c r="A17" s="21"/>
      <c r="B17" s="21"/>
      <c r="C17" s="21"/>
      <c r="D17" s="21"/>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row>
    <row r="18" spans="1:40" ht="13.5" customHeight="1">
      <c r="A18" s="21"/>
      <c r="B18" s="21"/>
      <c r="C18" s="21"/>
      <c r="D18" s="21"/>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1:40" ht="13.5" customHeight="1">
      <c r="A19" s="21"/>
      <c r="B19" s="21"/>
      <c r="C19" s="21"/>
      <c r="D19" s="21"/>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row>
    <row r="20" spans="1:40" ht="13.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row>
    <row r="21" spans="1:40" ht="13.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row>
    <row r="22" spans="1:40" ht="13.5" customHeight="1">
      <c r="A22" s="20"/>
      <c r="B22" s="20"/>
      <c r="C22" s="20"/>
      <c r="D22" s="20"/>
      <c r="E22" s="20"/>
      <c r="F22" s="20"/>
      <c r="G22" s="20"/>
      <c r="H22" s="20"/>
      <c r="I22" s="20"/>
      <c r="J22" s="20"/>
      <c r="K22" s="20"/>
      <c r="L22" s="20"/>
      <c r="M22" s="20"/>
      <c r="N22" s="20"/>
      <c r="O22" s="20"/>
      <c r="P22" s="20"/>
      <c r="Q22" s="20"/>
      <c r="R22" s="20"/>
      <c r="S22" s="20"/>
      <c r="T22" s="20"/>
      <c r="U22" s="20"/>
      <c r="V22" s="208" t="s">
        <v>184</v>
      </c>
      <c r="W22" s="208"/>
      <c r="X22" s="22">
        <f>$C$3/$C$2^2</f>
        <v>0.04</v>
      </c>
      <c r="Y22" s="22">
        <f>$C$7/$C$6^2</f>
        <v>0.04</v>
      </c>
      <c r="Z22" s="20"/>
      <c r="AA22" s="20"/>
      <c r="AB22" s="20"/>
      <c r="AC22" s="20"/>
      <c r="AD22" s="20"/>
      <c r="AE22" s="20"/>
      <c r="AF22" s="20"/>
      <c r="AG22" s="20"/>
      <c r="AH22" s="20"/>
      <c r="AI22" s="20"/>
      <c r="AJ22" s="20"/>
      <c r="AK22" s="20"/>
      <c r="AL22" s="20"/>
      <c r="AM22" s="20"/>
      <c r="AN22" s="20"/>
    </row>
    <row r="23" spans="1:40" ht="13.5" customHeight="1">
      <c r="A23" s="20"/>
      <c r="B23" s="20"/>
      <c r="C23" s="20"/>
      <c r="D23" s="20"/>
      <c r="E23" s="20"/>
      <c r="F23" s="20"/>
      <c r="G23" s="20"/>
      <c r="H23" s="20"/>
      <c r="I23" s="20"/>
      <c r="J23" s="20"/>
      <c r="K23" s="20"/>
      <c r="L23" s="20"/>
      <c r="M23" s="20"/>
      <c r="N23" s="20"/>
      <c r="O23" s="20"/>
      <c r="P23" s="20"/>
      <c r="Q23" s="20"/>
      <c r="R23" s="20"/>
      <c r="S23" s="20"/>
      <c r="T23" s="20"/>
      <c r="U23" s="20"/>
      <c r="V23" s="20" t="s">
        <v>214</v>
      </c>
      <c r="W23" s="20"/>
      <c r="X23" s="20"/>
      <c r="Y23" s="20"/>
      <c r="Z23" s="20"/>
      <c r="AA23" s="20"/>
      <c r="AB23" s="20"/>
      <c r="AC23" s="20"/>
      <c r="AD23" s="20"/>
      <c r="AE23" s="20"/>
      <c r="AF23" s="20"/>
      <c r="AG23" s="20"/>
      <c r="AH23" s="20"/>
      <c r="AI23" s="20"/>
      <c r="AJ23" s="20"/>
      <c r="AK23" s="20"/>
      <c r="AL23" s="20"/>
      <c r="AM23" s="20"/>
      <c r="AN23" s="20"/>
    </row>
    <row r="24" spans="1:40" ht="13.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5" spans="1:40" ht="13.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row>
    <row r="26" spans="1:40" ht="13.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row>
    <row r="27" spans="1:40" ht="13.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row>
    <row r="28" spans="1:40" ht="13.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row>
    <row r="29" spans="1:40" ht="13.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row>
    <row r="30" spans="1:40" ht="13.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row>
    <row r="31" spans="1:40" ht="13.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row>
    <row r="32" spans="1:40" ht="13.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row>
    <row r="33" spans="1:40" ht="13.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row>
    <row r="34" spans="1:40" ht="13.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3.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3.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3.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3.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3.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3.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3.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3.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3.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3.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3.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sheetData>
  <mergeCells count="7">
    <mergeCell ref="A1:C1"/>
    <mergeCell ref="V22:W22"/>
    <mergeCell ref="A2:B2"/>
    <mergeCell ref="A3:B3"/>
    <mergeCell ref="A5:C5"/>
    <mergeCell ref="A6:B6"/>
    <mergeCell ref="A7:B7"/>
  </mergeCells>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N50"/>
  <sheetViews>
    <sheetView workbookViewId="0" topLeftCell="A1">
      <selection activeCell="A1" sqref="A1:L1"/>
    </sheetView>
  </sheetViews>
  <sheetFormatPr defaultColWidth="9.140625" defaultRowHeight="12.75"/>
  <sheetData>
    <row r="1" spans="1:40" ht="13.5" customHeight="1" thickBot="1">
      <c r="A1" s="213" t="s">
        <v>23</v>
      </c>
      <c r="B1" s="213"/>
      <c r="C1" s="213"/>
      <c r="D1" s="28"/>
      <c r="E1" s="29"/>
      <c r="F1" s="29"/>
      <c r="G1" s="28"/>
      <c r="H1" s="28"/>
      <c r="I1" s="28"/>
      <c r="J1" s="28"/>
      <c r="K1" s="28"/>
      <c r="L1" s="28"/>
      <c r="M1" s="30"/>
      <c r="N1" s="30"/>
      <c r="O1" s="31"/>
      <c r="P1" s="31"/>
      <c r="Q1" s="31"/>
      <c r="R1" s="31"/>
      <c r="S1" s="31"/>
      <c r="T1" s="31"/>
      <c r="U1" s="31"/>
      <c r="V1" s="31"/>
      <c r="W1" s="31"/>
      <c r="X1" s="31"/>
      <c r="Y1" s="31"/>
      <c r="Z1" s="28"/>
      <c r="AA1" s="32"/>
      <c r="AB1" s="218" t="s">
        <v>22</v>
      </c>
      <c r="AC1" s="218"/>
      <c r="AD1" s="29"/>
      <c r="AE1" s="29"/>
      <c r="AF1" s="29"/>
      <c r="AG1" s="28"/>
      <c r="AH1" s="28"/>
      <c r="AI1" s="28"/>
      <c r="AJ1" s="28"/>
      <c r="AK1" s="28"/>
      <c r="AL1" s="28"/>
      <c r="AM1" s="28"/>
      <c r="AN1" s="28"/>
    </row>
    <row r="2" spans="1:40" ht="13.5" customHeight="1" thickTop="1">
      <c r="A2" s="214" t="s">
        <v>25</v>
      </c>
      <c r="B2" s="214"/>
      <c r="C2" s="26">
        <v>60</v>
      </c>
      <c r="D2" s="28"/>
      <c r="E2" s="29"/>
      <c r="F2" s="29"/>
      <c r="G2" s="34"/>
      <c r="H2" s="34"/>
      <c r="I2" s="34"/>
      <c r="J2" s="34"/>
      <c r="K2" s="34"/>
      <c r="L2" s="34"/>
      <c r="M2" s="34"/>
      <c r="N2" s="34"/>
      <c r="O2" s="28"/>
      <c r="P2" s="28"/>
      <c r="Q2" s="28"/>
      <c r="R2" s="28"/>
      <c r="S2" s="28"/>
      <c r="T2" s="28"/>
      <c r="U2" s="28"/>
      <c r="V2" s="28"/>
      <c r="W2" s="28"/>
      <c r="X2" s="28"/>
      <c r="Y2" s="28"/>
      <c r="Z2" s="28"/>
      <c r="AA2" s="32"/>
      <c r="AB2" s="219" t="s">
        <v>24</v>
      </c>
      <c r="AC2" s="219"/>
      <c r="AD2" s="29"/>
      <c r="AE2" s="29"/>
      <c r="AF2" s="29"/>
      <c r="AG2" s="28"/>
      <c r="AH2" s="28"/>
      <c r="AI2" s="28"/>
      <c r="AJ2" s="28"/>
      <c r="AK2" s="28"/>
      <c r="AL2" s="28"/>
      <c r="AM2" s="28"/>
      <c r="AN2" s="28"/>
    </row>
    <row r="3" spans="1:40" ht="13.5" customHeight="1">
      <c r="A3" s="203" t="s">
        <v>27</v>
      </c>
      <c r="B3" s="203"/>
      <c r="C3" s="27">
        <v>150</v>
      </c>
      <c r="D3" s="28"/>
      <c r="E3" s="29"/>
      <c r="F3" s="29"/>
      <c r="G3" s="34"/>
      <c r="H3" s="34"/>
      <c r="I3" s="34"/>
      <c r="J3" s="34"/>
      <c r="K3" s="34"/>
      <c r="L3" s="34"/>
      <c r="M3" s="28"/>
      <c r="N3" s="28"/>
      <c r="O3" s="28"/>
      <c r="P3" s="28"/>
      <c r="Q3" s="28"/>
      <c r="R3" s="28"/>
      <c r="S3" s="28"/>
      <c r="T3" s="28"/>
      <c r="U3" s="28"/>
      <c r="V3" s="28"/>
      <c r="W3" s="28"/>
      <c r="X3" s="28"/>
      <c r="Y3" s="28"/>
      <c r="Z3" s="28"/>
      <c r="AA3" s="33" t="s">
        <v>26</v>
      </c>
      <c r="AB3" s="33" t="s">
        <v>0</v>
      </c>
      <c r="AC3" s="35" t="s">
        <v>1</v>
      </c>
      <c r="AD3" s="29"/>
      <c r="AE3" s="29"/>
      <c r="AF3" s="29"/>
      <c r="AG3" s="28"/>
      <c r="AH3" s="28"/>
      <c r="AI3" s="28"/>
      <c r="AJ3" s="28"/>
      <c r="AK3" s="28"/>
      <c r="AL3" s="28"/>
      <c r="AM3" s="28"/>
      <c r="AN3" s="28"/>
    </row>
    <row r="4" spans="1:40" ht="13.5" customHeight="1">
      <c r="A4" s="28"/>
      <c r="B4" s="28"/>
      <c r="C4" s="28"/>
      <c r="D4" s="28"/>
      <c r="E4" s="29"/>
      <c r="F4" s="29"/>
      <c r="G4" s="28"/>
      <c r="H4" s="28"/>
      <c r="I4" s="28"/>
      <c r="J4" s="34"/>
      <c r="K4" s="34"/>
      <c r="L4" s="34"/>
      <c r="M4" s="28"/>
      <c r="N4" s="28"/>
      <c r="O4" s="28"/>
      <c r="P4" s="28"/>
      <c r="Q4" s="28"/>
      <c r="R4" s="28"/>
      <c r="S4" s="28"/>
      <c r="T4" s="28"/>
      <c r="U4" s="28"/>
      <c r="V4" s="28"/>
      <c r="W4" s="28"/>
      <c r="X4" s="28"/>
      <c r="Y4" s="28"/>
      <c r="Z4" s="28"/>
      <c r="AA4" s="36">
        <f>0</f>
        <v>0</v>
      </c>
      <c r="AB4" s="36">
        <f aca="true" t="shared" si="0" ref="AB4:AB9">AA4*$C$2</f>
        <v>0</v>
      </c>
      <c r="AC4" s="36">
        <f aca="true" t="shared" si="1" ref="AC4:AC9">(1-AA4)*$C$3</f>
        <v>150</v>
      </c>
      <c r="AD4" s="29"/>
      <c r="AE4" s="29"/>
      <c r="AF4" s="29"/>
      <c r="AG4" s="28"/>
      <c r="AH4" s="28"/>
      <c r="AI4" s="28"/>
      <c r="AJ4" s="28"/>
      <c r="AK4" s="28"/>
      <c r="AL4" s="28"/>
      <c r="AM4" s="28"/>
      <c r="AN4" s="28"/>
    </row>
    <row r="5" spans="1:40" ht="13.5" customHeight="1">
      <c r="A5" s="28"/>
      <c r="B5" s="28"/>
      <c r="C5" s="28"/>
      <c r="D5" s="28"/>
      <c r="E5" s="28"/>
      <c r="F5" s="29"/>
      <c r="G5" s="28"/>
      <c r="H5" s="28"/>
      <c r="I5" s="28"/>
      <c r="J5" s="28"/>
      <c r="K5" s="28"/>
      <c r="L5" s="34"/>
      <c r="M5" s="34"/>
      <c r="N5" s="34"/>
      <c r="O5" s="28"/>
      <c r="P5" s="28"/>
      <c r="Q5" s="28"/>
      <c r="R5" s="28"/>
      <c r="S5" s="28"/>
      <c r="T5" s="28"/>
      <c r="U5" s="28"/>
      <c r="V5" s="28"/>
      <c r="W5" s="28"/>
      <c r="X5" s="28"/>
      <c r="Y5" s="28"/>
      <c r="Z5" s="28"/>
      <c r="AA5" s="36">
        <f>AA4+0.2</f>
        <v>0.2</v>
      </c>
      <c r="AB5" s="36">
        <f t="shared" si="0"/>
        <v>12</v>
      </c>
      <c r="AC5" s="36">
        <f t="shared" si="1"/>
        <v>120</v>
      </c>
      <c r="AD5" s="29"/>
      <c r="AE5" s="29"/>
      <c r="AF5" s="29"/>
      <c r="AG5" s="28"/>
      <c r="AH5" s="28"/>
      <c r="AI5" s="28"/>
      <c r="AJ5" s="28"/>
      <c r="AK5" s="28"/>
      <c r="AL5" s="28"/>
      <c r="AM5" s="28"/>
      <c r="AN5" s="28"/>
    </row>
    <row r="6" spans="1:40" ht="13.5" customHeight="1">
      <c r="A6" s="28"/>
      <c r="B6" s="28"/>
      <c r="C6" s="28"/>
      <c r="D6" s="28"/>
      <c r="E6" s="28"/>
      <c r="F6" s="29"/>
      <c r="G6" s="34"/>
      <c r="H6" s="34"/>
      <c r="I6" s="34"/>
      <c r="J6" s="34"/>
      <c r="K6" s="34"/>
      <c r="L6" s="34"/>
      <c r="M6" s="34"/>
      <c r="N6" s="34"/>
      <c r="O6" s="28"/>
      <c r="P6" s="28"/>
      <c r="Q6" s="28"/>
      <c r="R6" s="28"/>
      <c r="S6" s="28"/>
      <c r="T6" s="28"/>
      <c r="U6" s="28"/>
      <c r="V6" s="28"/>
      <c r="W6" s="28"/>
      <c r="X6" s="28"/>
      <c r="Y6" s="28"/>
      <c r="Z6" s="28"/>
      <c r="AA6" s="36">
        <f>AA5+0.2</f>
        <v>0.4</v>
      </c>
      <c r="AB6" s="36">
        <f t="shared" si="0"/>
        <v>24</v>
      </c>
      <c r="AC6" s="36">
        <f t="shared" si="1"/>
        <v>90</v>
      </c>
      <c r="AD6" s="29"/>
      <c r="AE6" s="29"/>
      <c r="AF6" s="29"/>
      <c r="AG6" s="28"/>
      <c r="AH6" s="28"/>
      <c r="AI6" s="28"/>
      <c r="AJ6" s="28"/>
      <c r="AK6" s="28"/>
      <c r="AL6" s="28"/>
      <c r="AM6" s="28"/>
      <c r="AN6" s="28"/>
    </row>
    <row r="7" spans="1:40" ht="13.5" customHeight="1">
      <c r="A7" s="215" t="s">
        <v>28</v>
      </c>
      <c r="B7" s="216"/>
      <c r="C7" s="38">
        <f>$C$3/$C$2</f>
        <v>2.5</v>
      </c>
      <c r="D7" s="216" t="s">
        <v>29</v>
      </c>
      <c r="E7" s="217"/>
      <c r="F7" s="29"/>
      <c r="G7" s="34"/>
      <c r="H7" s="34"/>
      <c r="I7" s="34"/>
      <c r="J7" s="34"/>
      <c r="K7" s="34"/>
      <c r="L7" s="34"/>
      <c r="M7" s="34"/>
      <c r="N7" s="34"/>
      <c r="O7" s="28"/>
      <c r="P7" s="28"/>
      <c r="Q7" s="28"/>
      <c r="R7" s="28"/>
      <c r="S7" s="28"/>
      <c r="T7" s="28"/>
      <c r="U7" s="28"/>
      <c r="V7" s="28"/>
      <c r="W7" s="28"/>
      <c r="X7" s="28"/>
      <c r="Y7" s="28"/>
      <c r="Z7" s="28"/>
      <c r="AA7" s="36">
        <f>AA6+0.2</f>
        <v>0.6000000000000001</v>
      </c>
      <c r="AB7" s="36">
        <f t="shared" si="0"/>
        <v>36.00000000000001</v>
      </c>
      <c r="AC7" s="36">
        <f t="shared" si="1"/>
        <v>59.999999999999986</v>
      </c>
      <c r="AD7" s="29"/>
      <c r="AE7" s="29"/>
      <c r="AF7" s="29"/>
      <c r="AG7" s="28"/>
      <c r="AH7" s="28"/>
      <c r="AI7" s="28"/>
      <c r="AJ7" s="28"/>
      <c r="AK7" s="28"/>
      <c r="AL7" s="28"/>
      <c r="AM7" s="28"/>
      <c r="AN7" s="28"/>
    </row>
    <row r="8" spans="1:40" ht="13.5" customHeight="1">
      <c r="A8" s="215" t="s">
        <v>30</v>
      </c>
      <c r="B8" s="216"/>
      <c r="C8" s="38">
        <f>$C$2/$C$3</f>
        <v>0.4</v>
      </c>
      <c r="D8" s="216" t="s">
        <v>31</v>
      </c>
      <c r="E8" s="217"/>
      <c r="F8" s="29"/>
      <c r="G8" s="34"/>
      <c r="H8" s="34"/>
      <c r="I8" s="34"/>
      <c r="J8" s="34"/>
      <c r="K8" s="34"/>
      <c r="L8" s="34"/>
      <c r="M8" s="34"/>
      <c r="N8" s="34"/>
      <c r="O8" s="28"/>
      <c r="P8" s="28"/>
      <c r="Q8" s="28"/>
      <c r="R8" s="28"/>
      <c r="S8" s="28"/>
      <c r="T8" s="28"/>
      <c r="U8" s="28"/>
      <c r="V8" s="28"/>
      <c r="W8" s="28"/>
      <c r="X8" s="28"/>
      <c r="Y8" s="28"/>
      <c r="Z8" s="28"/>
      <c r="AA8" s="36">
        <f>AA7+0.2</f>
        <v>0.8</v>
      </c>
      <c r="AB8" s="36">
        <f t="shared" si="0"/>
        <v>48</v>
      </c>
      <c r="AC8" s="36">
        <f t="shared" si="1"/>
        <v>29.999999999999993</v>
      </c>
      <c r="AD8" s="29"/>
      <c r="AE8" s="29"/>
      <c r="AF8" s="29"/>
      <c r="AG8" s="28"/>
      <c r="AH8" s="28"/>
      <c r="AI8" s="28"/>
      <c r="AJ8" s="28"/>
      <c r="AK8" s="28"/>
      <c r="AL8" s="28"/>
      <c r="AM8" s="28"/>
      <c r="AN8" s="28"/>
    </row>
    <row r="9" spans="1:40" ht="13.5" customHeight="1">
      <c r="A9" s="29"/>
      <c r="B9" s="29"/>
      <c r="C9" s="29"/>
      <c r="D9" s="29"/>
      <c r="E9" s="29"/>
      <c r="F9" s="29"/>
      <c r="G9" s="34"/>
      <c r="H9" s="34"/>
      <c r="I9" s="34"/>
      <c r="J9" s="34"/>
      <c r="K9" s="34"/>
      <c r="L9" s="34"/>
      <c r="M9" s="34"/>
      <c r="N9" s="34"/>
      <c r="O9" s="28"/>
      <c r="P9" s="28"/>
      <c r="Q9" s="28"/>
      <c r="R9" s="28"/>
      <c r="S9" s="28"/>
      <c r="T9" s="28"/>
      <c r="U9" s="28"/>
      <c r="V9" s="28"/>
      <c r="W9" s="28"/>
      <c r="X9" s="28"/>
      <c r="Y9" s="28"/>
      <c r="Z9" s="28"/>
      <c r="AA9" s="36">
        <f>AA8+0.2</f>
        <v>1</v>
      </c>
      <c r="AB9" s="36">
        <f t="shared" si="0"/>
        <v>60</v>
      </c>
      <c r="AC9" s="36">
        <f t="shared" si="1"/>
        <v>0</v>
      </c>
      <c r="AD9" s="29"/>
      <c r="AE9" s="29"/>
      <c r="AF9" s="29"/>
      <c r="AG9" s="28"/>
      <c r="AH9" s="28"/>
      <c r="AI9" s="28"/>
      <c r="AJ9" s="28"/>
      <c r="AK9" s="28"/>
      <c r="AL9" s="28"/>
      <c r="AM9" s="28"/>
      <c r="AN9" s="28"/>
    </row>
    <row r="10" spans="1:40" ht="13.5" customHeight="1">
      <c r="A10" s="29"/>
      <c r="B10" s="29"/>
      <c r="C10" s="29"/>
      <c r="D10" s="29"/>
      <c r="E10" s="29"/>
      <c r="F10" s="29"/>
      <c r="G10" s="34"/>
      <c r="H10" s="34"/>
      <c r="I10" s="34"/>
      <c r="J10" s="34"/>
      <c r="K10" s="34"/>
      <c r="L10" s="34"/>
      <c r="M10" s="34"/>
      <c r="N10" s="34"/>
      <c r="O10" s="28"/>
      <c r="P10" s="28"/>
      <c r="Q10" s="28"/>
      <c r="R10" s="28"/>
      <c r="S10" s="28"/>
      <c r="T10" s="28"/>
      <c r="U10" s="28"/>
      <c r="V10" s="28"/>
      <c r="W10" s="29" t="s">
        <v>189</v>
      </c>
      <c r="X10" s="29"/>
      <c r="Y10" s="29"/>
      <c r="Z10" s="29"/>
      <c r="AA10" s="29"/>
      <c r="AB10" s="29"/>
      <c r="AC10" s="29"/>
      <c r="AD10" s="29"/>
      <c r="AE10" s="29"/>
      <c r="AF10" s="29"/>
      <c r="AG10" s="28"/>
      <c r="AH10" s="28"/>
      <c r="AI10" s="28"/>
      <c r="AJ10" s="28"/>
      <c r="AK10" s="28"/>
      <c r="AL10" s="28"/>
      <c r="AM10" s="28"/>
      <c r="AN10" s="28"/>
    </row>
    <row r="11" spans="1:40" ht="13.5" customHeight="1">
      <c r="A11" s="29"/>
      <c r="B11" s="29"/>
      <c r="C11" s="29"/>
      <c r="D11" s="29"/>
      <c r="E11" s="29"/>
      <c r="F11" s="29"/>
      <c r="G11" s="34"/>
      <c r="H11" s="34"/>
      <c r="I11" s="34"/>
      <c r="J11" s="34"/>
      <c r="K11" s="34"/>
      <c r="L11" s="34"/>
      <c r="M11" s="34"/>
      <c r="N11" s="34"/>
      <c r="O11" s="28"/>
      <c r="P11" s="28"/>
      <c r="Q11" s="28"/>
      <c r="R11" s="28"/>
      <c r="S11" s="28"/>
      <c r="T11" s="28"/>
      <c r="U11" s="28"/>
      <c r="V11" s="28"/>
      <c r="W11" s="29" t="s">
        <v>32</v>
      </c>
      <c r="X11" s="29"/>
      <c r="Y11" s="29"/>
      <c r="Z11" s="29"/>
      <c r="AA11" s="29"/>
      <c r="AB11" s="29"/>
      <c r="AC11" s="29"/>
      <c r="AD11" s="29"/>
      <c r="AE11" s="29"/>
      <c r="AF11" s="29"/>
      <c r="AG11" s="28"/>
      <c r="AH11" s="28"/>
      <c r="AI11" s="28"/>
      <c r="AJ11" s="28"/>
      <c r="AK11" s="28"/>
      <c r="AL11" s="28"/>
      <c r="AM11" s="28"/>
      <c r="AN11" s="28"/>
    </row>
    <row r="12" spans="1:40" ht="13.5" customHeight="1">
      <c r="A12" s="28"/>
      <c r="B12" s="28"/>
      <c r="C12" s="28"/>
      <c r="D12" s="28"/>
      <c r="E12" s="28"/>
      <c r="F12" s="29"/>
      <c r="G12" s="34"/>
      <c r="H12" s="34"/>
      <c r="I12" s="34"/>
      <c r="J12" s="34"/>
      <c r="K12" s="34"/>
      <c r="L12" s="34"/>
      <c r="M12" s="34"/>
      <c r="N12" s="34"/>
      <c r="O12" s="28"/>
      <c r="P12" s="28"/>
      <c r="Q12" s="28"/>
      <c r="R12" s="28"/>
      <c r="S12" s="28"/>
      <c r="T12" s="28"/>
      <c r="U12" s="28"/>
      <c r="V12" s="28"/>
      <c r="W12" s="29" t="s">
        <v>185</v>
      </c>
      <c r="X12" s="29"/>
      <c r="Y12" s="29"/>
      <c r="Z12" s="29"/>
      <c r="AA12" s="29"/>
      <c r="AB12" s="29"/>
      <c r="AC12" s="29"/>
      <c r="AD12" s="29"/>
      <c r="AE12" s="29"/>
      <c r="AF12" s="29"/>
      <c r="AG12" s="28"/>
      <c r="AH12" s="28"/>
      <c r="AI12" s="28"/>
      <c r="AJ12" s="28"/>
      <c r="AK12" s="28"/>
      <c r="AL12" s="28"/>
      <c r="AM12" s="28"/>
      <c r="AN12" s="28"/>
    </row>
    <row r="13" spans="1:40" ht="13.5" customHeight="1">
      <c r="A13" s="28"/>
      <c r="B13" s="28"/>
      <c r="C13" s="28"/>
      <c r="D13" s="28"/>
      <c r="E13" s="28"/>
      <c r="F13" s="29"/>
      <c r="G13" s="34"/>
      <c r="H13" s="34"/>
      <c r="I13" s="34"/>
      <c r="J13" s="34"/>
      <c r="K13" s="34"/>
      <c r="L13" s="34"/>
      <c r="M13" s="34"/>
      <c r="N13" s="34"/>
      <c r="O13" s="28"/>
      <c r="P13" s="28"/>
      <c r="Q13" s="28"/>
      <c r="R13" s="28"/>
      <c r="S13" s="28"/>
      <c r="T13" s="28"/>
      <c r="U13" s="28"/>
      <c r="V13" s="28"/>
      <c r="W13" s="29" t="s">
        <v>186</v>
      </c>
      <c r="X13" s="29"/>
      <c r="Y13" s="29"/>
      <c r="Z13" s="29"/>
      <c r="AA13" s="29"/>
      <c r="AB13" s="29"/>
      <c r="AC13" s="29"/>
      <c r="AD13" s="29"/>
      <c r="AE13" s="29"/>
      <c r="AF13" s="29"/>
      <c r="AG13" s="28"/>
      <c r="AH13" s="28"/>
      <c r="AI13" s="28"/>
      <c r="AJ13" s="28"/>
      <c r="AK13" s="28"/>
      <c r="AL13" s="28"/>
      <c r="AM13" s="28"/>
      <c r="AN13" s="28"/>
    </row>
    <row r="14" spans="1:40" ht="13.5" customHeight="1">
      <c r="A14" s="28"/>
      <c r="B14" s="28"/>
      <c r="C14" s="28"/>
      <c r="D14" s="28"/>
      <c r="E14" s="28"/>
      <c r="F14" s="29"/>
      <c r="G14" s="34"/>
      <c r="H14" s="34"/>
      <c r="I14" s="34"/>
      <c r="J14" s="34"/>
      <c r="K14" s="34"/>
      <c r="L14" s="34"/>
      <c r="M14" s="34"/>
      <c r="N14" s="34"/>
      <c r="O14" s="28"/>
      <c r="P14" s="28"/>
      <c r="Q14" s="28"/>
      <c r="R14" s="28"/>
      <c r="S14" s="28"/>
      <c r="T14" s="28"/>
      <c r="U14" s="28"/>
      <c r="V14" s="28"/>
      <c r="W14" s="29" t="s">
        <v>187</v>
      </c>
      <c r="X14" s="29"/>
      <c r="Y14" s="29"/>
      <c r="Z14" s="29"/>
      <c r="AA14" s="29"/>
      <c r="AB14" s="29"/>
      <c r="AC14" s="29"/>
      <c r="AD14" s="29"/>
      <c r="AE14" s="29"/>
      <c r="AF14" s="29"/>
      <c r="AG14" s="28"/>
      <c r="AH14" s="28"/>
      <c r="AI14" s="28"/>
      <c r="AJ14" s="28"/>
      <c r="AK14" s="28"/>
      <c r="AL14" s="28"/>
      <c r="AM14" s="28"/>
      <c r="AN14" s="28"/>
    </row>
    <row r="15" spans="1:40" ht="13.5" customHeight="1">
      <c r="A15" s="28"/>
      <c r="B15" s="28"/>
      <c r="C15" s="28"/>
      <c r="D15" s="28"/>
      <c r="E15" s="28"/>
      <c r="F15" s="29"/>
      <c r="G15" s="34"/>
      <c r="H15" s="34"/>
      <c r="I15" s="34"/>
      <c r="J15" s="34"/>
      <c r="K15" s="34"/>
      <c r="L15" s="34"/>
      <c r="M15" s="34"/>
      <c r="N15" s="34"/>
      <c r="O15" s="28"/>
      <c r="P15" s="28"/>
      <c r="Q15" s="28"/>
      <c r="R15" s="28"/>
      <c r="S15" s="28"/>
      <c r="T15" s="28"/>
      <c r="U15" s="28"/>
      <c r="V15" s="28"/>
      <c r="W15" s="29" t="s">
        <v>188</v>
      </c>
      <c r="X15" s="29"/>
      <c r="Y15" s="29"/>
      <c r="Z15" s="29"/>
      <c r="AA15" s="29"/>
      <c r="AB15" s="29"/>
      <c r="AC15" s="29"/>
      <c r="AD15" s="29"/>
      <c r="AE15" s="29"/>
      <c r="AF15" s="29"/>
      <c r="AG15" s="28"/>
      <c r="AH15" s="28"/>
      <c r="AI15" s="28"/>
      <c r="AJ15" s="28"/>
      <c r="AK15" s="28"/>
      <c r="AL15" s="28"/>
      <c r="AM15" s="28"/>
      <c r="AN15" s="28"/>
    </row>
    <row r="16" spans="1:40" ht="13.5" customHeight="1">
      <c r="A16" s="29"/>
      <c r="B16" s="29"/>
      <c r="C16" s="29"/>
      <c r="D16" s="29"/>
      <c r="E16" s="29"/>
      <c r="F16" s="29"/>
      <c r="G16" s="34"/>
      <c r="H16" s="34"/>
      <c r="I16" s="34"/>
      <c r="J16" s="34"/>
      <c r="K16" s="34"/>
      <c r="L16" s="34"/>
      <c r="M16" s="34"/>
      <c r="N16" s="34"/>
      <c r="O16" s="28"/>
      <c r="P16" s="28"/>
      <c r="Q16" s="28"/>
      <c r="R16" s="28"/>
      <c r="S16" s="28"/>
      <c r="T16" s="28"/>
      <c r="U16" s="28"/>
      <c r="V16" s="28"/>
      <c r="W16" s="28"/>
      <c r="X16" s="28"/>
      <c r="Y16" s="28"/>
      <c r="Z16" s="28"/>
      <c r="AA16" s="29"/>
      <c r="AB16" s="29"/>
      <c r="AC16" s="29"/>
      <c r="AD16" s="29"/>
      <c r="AE16" s="29"/>
      <c r="AF16" s="29"/>
      <c r="AG16" s="28"/>
      <c r="AH16" s="28"/>
      <c r="AI16" s="28"/>
      <c r="AJ16" s="28"/>
      <c r="AK16" s="28"/>
      <c r="AL16" s="28"/>
      <c r="AM16" s="28"/>
      <c r="AN16" s="28"/>
    </row>
    <row r="17" spans="1:40" ht="13.5" customHeight="1">
      <c r="A17" s="29"/>
      <c r="B17" s="29"/>
      <c r="C17" s="29"/>
      <c r="D17" s="29"/>
      <c r="E17" s="29"/>
      <c r="F17" s="29"/>
      <c r="G17" s="34"/>
      <c r="H17" s="34"/>
      <c r="I17" s="34"/>
      <c r="J17" s="34"/>
      <c r="K17" s="34"/>
      <c r="L17" s="34"/>
      <c r="M17" s="34"/>
      <c r="N17" s="34"/>
      <c r="O17" s="28"/>
      <c r="P17" s="28"/>
      <c r="Q17" s="28"/>
      <c r="R17" s="28"/>
      <c r="S17" s="28"/>
      <c r="T17" s="28"/>
      <c r="U17" s="28"/>
      <c r="V17" s="28"/>
      <c r="W17" s="28"/>
      <c r="X17" s="28"/>
      <c r="Y17" s="28"/>
      <c r="Z17" s="28"/>
      <c r="AA17" s="29"/>
      <c r="AB17" s="29"/>
      <c r="AC17" s="29"/>
      <c r="AD17" s="29"/>
      <c r="AE17" s="29"/>
      <c r="AF17" s="29"/>
      <c r="AG17" s="28"/>
      <c r="AH17" s="28"/>
      <c r="AI17" s="28"/>
      <c r="AJ17" s="28"/>
      <c r="AK17" s="28"/>
      <c r="AL17" s="28"/>
      <c r="AM17" s="28"/>
      <c r="AN17" s="28"/>
    </row>
    <row r="18" spans="1:40" ht="13.5" customHeight="1">
      <c r="A18" s="29"/>
      <c r="B18" s="29"/>
      <c r="C18" s="29"/>
      <c r="D18" s="29"/>
      <c r="E18" s="29"/>
      <c r="F18" s="29"/>
      <c r="G18" s="34"/>
      <c r="H18" s="34"/>
      <c r="I18" s="34"/>
      <c r="J18" s="34"/>
      <c r="K18" s="34"/>
      <c r="L18" s="34"/>
      <c r="M18" s="34"/>
      <c r="N18" s="34"/>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row>
    <row r="19" spans="1:40" ht="13.5" customHeight="1">
      <c r="A19" s="29"/>
      <c r="B19" s="29"/>
      <c r="C19" s="29"/>
      <c r="D19" s="29"/>
      <c r="E19" s="29"/>
      <c r="F19" s="29"/>
      <c r="G19" s="34"/>
      <c r="H19" s="34"/>
      <c r="I19" s="34"/>
      <c r="J19" s="34"/>
      <c r="K19" s="34"/>
      <c r="L19" s="34"/>
      <c r="M19" s="34"/>
      <c r="N19" s="34"/>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row>
    <row r="20" spans="1:40" ht="13.5" customHeight="1">
      <c r="A20" s="29"/>
      <c r="B20" s="29"/>
      <c r="C20" s="29"/>
      <c r="D20" s="29"/>
      <c r="E20" s="29"/>
      <c r="F20" s="29"/>
      <c r="G20" s="34"/>
      <c r="H20" s="34"/>
      <c r="I20" s="34"/>
      <c r="J20" s="34"/>
      <c r="K20" s="34"/>
      <c r="L20" s="34"/>
      <c r="M20" s="34"/>
      <c r="N20" s="34"/>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row>
    <row r="21" spans="1:40" ht="13.5" customHeight="1">
      <c r="A21" s="29"/>
      <c r="B21" s="29"/>
      <c r="C21" s="29"/>
      <c r="D21" s="29"/>
      <c r="E21" s="29"/>
      <c r="F21" s="29"/>
      <c r="G21" s="34"/>
      <c r="H21" s="34"/>
      <c r="I21" s="34"/>
      <c r="J21" s="34"/>
      <c r="K21" s="34"/>
      <c r="L21" s="34"/>
      <c r="M21" s="34"/>
      <c r="N21" s="34"/>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row>
    <row r="22" spans="1:40" ht="13.5" customHeight="1">
      <c r="A22" s="29"/>
      <c r="B22" s="29"/>
      <c r="C22" s="29"/>
      <c r="D22" s="29"/>
      <c r="E22" s="29"/>
      <c r="F22" s="29"/>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row>
    <row r="23" spans="1:40" ht="13.5" customHeight="1">
      <c r="A23" s="3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row>
    <row r="24" spans="1:40" ht="13.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9"/>
      <c r="AB24" s="29"/>
      <c r="AC24" s="29"/>
      <c r="AD24" s="29"/>
      <c r="AE24" s="29"/>
      <c r="AF24" s="29"/>
      <c r="AG24" s="28"/>
      <c r="AH24" s="28"/>
      <c r="AI24" s="28"/>
      <c r="AJ24" s="28"/>
      <c r="AK24" s="28"/>
      <c r="AL24" s="28"/>
      <c r="AM24" s="28"/>
      <c r="AN24" s="28"/>
    </row>
    <row r="25" spans="1:40" ht="13.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row>
    <row r="26" spans="1:40" ht="13.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row>
    <row r="27" spans="1:40" ht="13.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row>
    <row r="28" spans="1:40" ht="13.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row>
    <row r="29" spans="1:40" ht="13.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row>
    <row r="30" spans="1:40" ht="13.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row>
    <row r="31" spans="1:40" ht="13.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row>
    <row r="32" spans="1:40" ht="13.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row>
    <row r="33" spans="1:40" ht="13.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4" spans="1:40" ht="13.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row>
    <row r="35" spans="1:40" ht="13.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row>
    <row r="36" spans="1:40" ht="13.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row>
    <row r="37" spans="1:40" ht="13.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row>
    <row r="38" spans="1:40" ht="13.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row>
    <row r="39" spans="1:40" ht="13.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row>
    <row r="40" spans="1:40" ht="13.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row>
    <row r="41" spans="1:40" ht="13.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row>
    <row r="42" spans="1:40" ht="13.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row>
    <row r="43" spans="1:40" ht="13.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row>
    <row r="44" spans="1:40" ht="13.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row>
    <row r="45" spans="1:40" ht="13.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3.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40" ht="13.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row r="48" spans="1:40" ht="13.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3.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3.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sheetData>
  <mergeCells count="9">
    <mergeCell ref="AB1:AC1"/>
    <mergeCell ref="AB2:AC2"/>
    <mergeCell ref="A1:C1"/>
    <mergeCell ref="A2:B2"/>
    <mergeCell ref="A3:B3"/>
    <mergeCell ref="A7:B7"/>
    <mergeCell ref="A8:B8"/>
    <mergeCell ref="D7:E7"/>
    <mergeCell ref="D8:E8"/>
  </mergeCells>
  <printOptions/>
  <pageMargins left="0.75" right="0.75" top="1" bottom="1" header="0.5" footer="0.5"/>
  <pageSetup horizontalDpi="204" verticalDpi="204"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AN50"/>
  <sheetViews>
    <sheetView workbookViewId="0" topLeftCell="A1">
      <selection activeCell="A1" sqref="A1"/>
    </sheetView>
  </sheetViews>
  <sheetFormatPr defaultColWidth="9.140625" defaultRowHeight="12.75"/>
  <cols>
    <col min="30" max="30" width="10.28125" style="0" bestFit="1" customWidth="1"/>
  </cols>
  <sheetData>
    <row r="1" spans="1:40" ht="13.5" customHeight="1">
      <c r="A1" s="39"/>
      <c r="B1" s="39"/>
      <c r="C1" s="39"/>
      <c r="D1" s="39"/>
      <c r="E1" s="39"/>
      <c r="F1" s="40"/>
      <c r="G1" s="40"/>
      <c r="H1" s="40"/>
      <c r="I1" s="40"/>
      <c r="J1" s="40"/>
      <c r="K1" s="40"/>
      <c r="L1" s="39"/>
      <c r="M1" s="39"/>
      <c r="N1" s="41"/>
      <c r="O1" s="41"/>
      <c r="P1" s="41"/>
      <c r="Q1" s="41"/>
      <c r="R1" s="41"/>
      <c r="S1" s="41"/>
      <c r="T1" s="41"/>
      <c r="U1" s="41"/>
      <c r="V1" s="160"/>
      <c r="W1" s="194" t="s">
        <v>38</v>
      </c>
      <c r="X1" s="195"/>
      <c r="Y1" s="40"/>
      <c r="Z1" s="40"/>
      <c r="AA1" s="160"/>
      <c r="AB1" s="190" t="s">
        <v>49</v>
      </c>
      <c r="AC1" s="190"/>
      <c r="AD1" s="160"/>
      <c r="AE1" s="190" t="s">
        <v>50</v>
      </c>
      <c r="AF1" s="190"/>
      <c r="AG1" s="39"/>
      <c r="AH1" s="39"/>
      <c r="AI1" s="39"/>
      <c r="AJ1" s="39"/>
      <c r="AK1" s="39"/>
      <c r="AL1" s="39"/>
      <c r="AM1" s="39"/>
      <c r="AN1" s="39"/>
    </row>
    <row r="2" spans="1:40" ht="13.5" customHeight="1">
      <c r="A2" s="39"/>
      <c r="B2" s="39"/>
      <c r="C2" s="39"/>
      <c r="D2" s="39"/>
      <c r="E2" s="39"/>
      <c r="F2" s="191" t="s">
        <v>35</v>
      </c>
      <c r="G2" s="192"/>
      <c r="H2" s="193"/>
      <c r="I2" s="40"/>
      <c r="J2" s="40"/>
      <c r="K2" s="40"/>
      <c r="L2" s="39"/>
      <c r="M2" s="39"/>
      <c r="N2" s="39"/>
      <c r="O2" s="39"/>
      <c r="P2" s="39"/>
      <c r="Q2" s="39"/>
      <c r="R2" s="39"/>
      <c r="S2" s="39"/>
      <c r="T2" s="39"/>
      <c r="U2" s="39"/>
      <c r="V2" s="160"/>
      <c r="W2" s="196" t="s">
        <v>40</v>
      </c>
      <c r="X2" s="197"/>
      <c r="Y2" s="40"/>
      <c r="Z2" s="40"/>
      <c r="AA2" s="160"/>
      <c r="AB2" s="198" t="s">
        <v>52</v>
      </c>
      <c r="AC2" s="198"/>
      <c r="AD2" s="160"/>
      <c r="AE2" s="190" t="s">
        <v>52</v>
      </c>
      <c r="AF2" s="190"/>
      <c r="AG2" s="39"/>
      <c r="AH2" s="39"/>
      <c r="AI2" s="39"/>
      <c r="AJ2" s="39"/>
      <c r="AK2" s="39"/>
      <c r="AL2" s="39"/>
      <c r="AM2" s="39"/>
      <c r="AN2" s="39"/>
    </row>
    <row r="3" spans="1:40" ht="13.5" customHeight="1">
      <c r="A3" s="39"/>
      <c r="B3" s="39"/>
      <c r="C3" s="39"/>
      <c r="D3" s="39"/>
      <c r="E3" s="39"/>
      <c r="F3" s="191" t="s">
        <v>36</v>
      </c>
      <c r="G3" s="193"/>
      <c r="H3" s="42">
        <f>$C$10/$C$9</f>
        <v>2.5</v>
      </c>
      <c r="I3" s="40"/>
      <c r="J3" s="40"/>
      <c r="K3" s="40"/>
      <c r="L3" s="39"/>
      <c r="M3" s="41"/>
      <c r="N3" s="41"/>
      <c r="O3" s="41"/>
      <c r="P3" s="41"/>
      <c r="Q3" s="41"/>
      <c r="R3" s="41"/>
      <c r="S3" s="41"/>
      <c r="T3" s="41"/>
      <c r="U3" s="41"/>
      <c r="V3" s="43" t="s">
        <v>26</v>
      </c>
      <c r="W3" s="43" t="s">
        <v>0</v>
      </c>
      <c r="X3" s="43" t="s">
        <v>42</v>
      </c>
      <c r="Y3" s="40"/>
      <c r="Z3" s="40"/>
      <c r="AA3" s="43" t="s">
        <v>55</v>
      </c>
      <c r="AB3" s="138" t="s">
        <v>56</v>
      </c>
      <c r="AC3" s="138" t="s">
        <v>57</v>
      </c>
      <c r="AD3" s="43" t="s">
        <v>58</v>
      </c>
      <c r="AE3" s="138" t="s">
        <v>59</v>
      </c>
      <c r="AF3" s="138" t="s">
        <v>60</v>
      </c>
      <c r="AG3" s="39"/>
      <c r="AH3" s="39"/>
      <c r="AI3" s="39"/>
      <c r="AJ3" s="39"/>
      <c r="AK3" s="39"/>
      <c r="AL3" s="39"/>
      <c r="AM3" s="39"/>
      <c r="AN3" s="39"/>
    </row>
    <row r="4" spans="1:40" ht="13.5" customHeight="1">
      <c r="A4" s="39"/>
      <c r="B4" s="39"/>
      <c r="C4" s="39"/>
      <c r="D4" s="39"/>
      <c r="E4" s="39"/>
      <c r="F4" s="191" t="s">
        <v>37</v>
      </c>
      <c r="G4" s="193"/>
      <c r="H4" s="42">
        <f>$C$14/$C$13</f>
        <v>2.6</v>
      </c>
      <c r="I4" s="40"/>
      <c r="J4" s="40"/>
      <c r="K4" s="40"/>
      <c r="L4" s="39"/>
      <c r="M4" s="41"/>
      <c r="N4" s="41"/>
      <c r="O4" s="41"/>
      <c r="P4" s="41"/>
      <c r="Q4" s="41"/>
      <c r="R4" s="41"/>
      <c r="S4" s="41"/>
      <c r="T4" s="41"/>
      <c r="U4" s="41"/>
      <c r="V4" s="42">
        <v>0</v>
      </c>
      <c r="W4" s="42">
        <f aca="true" t="shared" si="0" ref="W4:W14">V4*($C$9+$C$13)</f>
        <v>0</v>
      </c>
      <c r="X4" s="42">
        <f aca="true" t="shared" si="1" ref="X4:X14">MIN(($C$10+$C$14-$H$3*W4),($C$9+$C$13)*$H$4-$H$4*W4)</f>
        <v>280</v>
      </c>
      <c r="Y4" s="40"/>
      <c r="Z4" s="40"/>
      <c r="AA4" s="42">
        <f>0</f>
        <v>0</v>
      </c>
      <c r="AB4" s="44">
        <f aca="true" t="shared" si="2" ref="AB4:AB9">AA4*$C$9</f>
        <v>0</v>
      </c>
      <c r="AC4" s="44">
        <f aca="true" t="shared" si="3" ref="AC4:AC9">(1-AA4)*$C$10</f>
        <v>150</v>
      </c>
      <c r="AD4" s="42">
        <v>0</v>
      </c>
      <c r="AE4" s="44">
        <f aca="true" t="shared" si="4" ref="AE4:AE9">AD4*$C$13</f>
        <v>0</v>
      </c>
      <c r="AF4" s="44">
        <f aca="true" t="shared" si="5" ref="AF4:AF9">(1-AD4)*$C$14</f>
        <v>130</v>
      </c>
      <c r="AG4" s="39"/>
      <c r="AH4" s="39"/>
      <c r="AI4" s="39"/>
      <c r="AJ4" s="39"/>
      <c r="AK4" s="39"/>
      <c r="AL4" s="39"/>
      <c r="AM4" s="39"/>
      <c r="AN4" s="39"/>
    </row>
    <row r="5" spans="1:40" ht="13.5" customHeight="1">
      <c r="A5" s="39"/>
      <c r="B5" s="39"/>
      <c r="C5" s="39"/>
      <c r="D5" s="39"/>
      <c r="E5" s="39"/>
      <c r="F5" s="40"/>
      <c r="G5" s="40"/>
      <c r="H5" s="40"/>
      <c r="I5" s="40"/>
      <c r="J5" s="40"/>
      <c r="K5" s="40"/>
      <c r="L5" s="39"/>
      <c r="M5" s="41"/>
      <c r="N5" s="41"/>
      <c r="O5" s="41"/>
      <c r="P5" s="41"/>
      <c r="Q5" s="41"/>
      <c r="R5" s="41"/>
      <c r="S5" s="41"/>
      <c r="T5" s="41"/>
      <c r="U5" s="41"/>
      <c r="V5" s="42">
        <f aca="true" t="shared" si="6" ref="V5:V14">V4+0.1</f>
        <v>0.1</v>
      </c>
      <c r="W5" s="42">
        <f t="shared" si="0"/>
        <v>11</v>
      </c>
      <c r="X5" s="42">
        <f t="shared" si="1"/>
        <v>252.5</v>
      </c>
      <c r="Y5" s="40"/>
      <c r="Z5" s="40"/>
      <c r="AA5" s="42">
        <f>AA4+0.2</f>
        <v>0.2</v>
      </c>
      <c r="AB5" s="44">
        <f t="shared" si="2"/>
        <v>12</v>
      </c>
      <c r="AC5" s="44">
        <f t="shared" si="3"/>
        <v>120</v>
      </c>
      <c r="AD5" s="42">
        <f>AD4+0.2</f>
        <v>0.2</v>
      </c>
      <c r="AE5" s="44">
        <f t="shared" si="4"/>
        <v>10</v>
      </c>
      <c r="AF5" s="44">
        <f t="shared" si="5"/>
        <v>104</v>
      </c>
      <c r="AG5" s="39"/>
      <c r="AH5" s="39"/>
      <c r="AI5" s="39"/>
      <c r="AJ5" s="39"/>
      <c r="AK5" s="39"/>
      <c r="AL5" s="39"/>
      <c r="AM5" s="39"/>
      <c r="AN5" s="39"/>
    </row>
    <row r="6" spans="1:40" ht="13.5" customHeight="1">
      <c r="A6" s="39"/>
      <c r="B6" s="39"/>
      <c r="C6" s="39"/>
      <c r="D6" s="39"/>
      <c r="E6" s="39"/>
      <c r="F6" s="191" t="s">
        <v>44</v>
      </c>
      <c r="G6" s="192"/>
      <c r="H6" s="193"/>
      <c r="I6" s="40"/>
      <c r="J6" s="40"/>
      <c r="K6" s="40"/>
      <c r="L6" s="39"/>
      <c r="M6" s="39"/>
      <c r="N6" s="39"/>
      <c r="O6" s="39"/>
      <c r="P6" s="39"/>
      <c r="Q6" s="39"/>
      <c r="R6" s="39"/>
      <c r="S6" s="39"/>
      <c r="T6" s="39"/>
      <c r="U6" s="39"/>
      <c r="V6" s="42">
        <f t="shared" si="6"/>
        <v>0.2</v>
      </c>
      <c r="W6" s="42">
        <f t="shared" si="0"/>
        <v>22</v>
      </c>
      <c r="X6" s="42">
        <f t="shared" si="1"/>
        <v>225</v>
      </c>
      <c r="Y6" s="40"/>
      <c r="Z6" s="40"/>
      <c r="AA6" s="42">
        <f>AA5+0.2</f>
        <v>0.4</v>
      </c>
      <c r="AB6" s="44">
        <f t="shared" si="2"/>
        <v>24</v>
      </c>
      <c r="AC6" s="44">
        <f t="shared" si="3"/>
        <v>90</v>
      </c>
      <c r="AD6" s="42">
        <f>AD5+0.2</f>
        <v>0.4</v>
      </c>
      <c r="AE6" s="44">
        <f t="shared" si="4"/>
        <v>20</v>
      </c>
      <c r="AF6" s="44">
        <f t="shared" si="5"/>
        <v>78</v>
      </c>
      <c r="AG6" s="39"/>
      <c r="AH6" s="39"/>
      <c r="AI6" s="39"/>
      <c r="AJ6" s="39"/>
      <c r="AK6" s="39"/>
      <c r="AL6" s="39"/>
      <c r="AM6" s="39"/>
      <c r="AN6" s="39"/>
    </row>
    <row r="7" spans="1:40" ht="13.5" customHeight="1" thickBot="1">
      <c r="A7" s="39"/>
      <c r="B7" s="39"/>
      <c r="C7" s="39"/>
      <c r="D7" s="39"/>
      <c r="E7" s="39"/>
      <c r="F7" s="42" t="s">
        <v>46</v>
      </c>
      <c r="G7" s="42">
        <f>$C$10-($C$10/$C$9)*$C$15</f>
        <v>87.5</v>
      </c>
      <c r="H7" s="40"/>
      <c r="I7" s="40"/>
      <c r="J7" s="40"/>
      <c r="K7" s="40"/>
      <c r="L7" s="39"/>
      <c r="M7" s="39"/>
      <c r="N7" s="39"/>
      <c r="O7" s="39"/>
      <c r="P7" s="39"/>
      <c r="Q7" s="39"/>
      <c r="R7" s="39"/>
      <c r="S7" s="39"/>
      <c r="T7" s="39"/>
      <c r="U7" s="39"/>
      <c r="V7" s="42">
        <f t="shared" si="6"/>
        <v>0.30000000000000004</v>
      </c>
      <c r="W7" s="42">
        <f t="shared" si="0"/>
        <v>33.00000000000001</v>
      </c>
      <c r="X7" s="42">
        <f t="shared" si="1"/>
        <v>197.5</v>
      </c>
      <c r="Y7" s="40"/>
      <c r="Z7" s="40"/>
      <c r="AA7" s="42">
        <f>AA6+0.2</f>
        <v>0.6000000000000001</v>
      </c>
      <c r="AB7" s="44">
        <f t="shared" si="2"/>
        <v>36.00000000000001</v>
      </c>
      <c r="AC7" s="44">
        <f t="shared" si="3"/>
        <v>59.999999999999986</v>
      </c>
      <c r="AD7" s="42">
        <f>AD6+0.2</f>
        <v>0.6000000000000001</v>
      </c>
      <c r="AE7" s="44">
        <f t="shared" si="4"/>
        <v>30.000000000000004</v>
      </c>
      <c r="AF7" s="44">
        <f t="shared" si="5"/>
        <v>51.999999999999986</v>
      </c>
      <c r="AG7" s="39"/>
      <c r="AH7" s="39"/>
      <c r="AI7" s="39"/>
      <c r="AJ7" s="39"/>
      <c r="AK7" s="39"/>
      <c r="AL7" s="39"/>
      <c r="AM7" s="39"/>
      <c r="AN7" s="39"/>
    </row>
    <row r="8" spans="1:40" ht="13.5" customHeight="1" thickTop="1">
      <c r="A8" s="186" t="s">
        <v>190</v>
      </c>
      <c r="B8" s="187"/>
      <c r="C8" s="188"/>
      <c r="D8" s="40"/>
      <c r="E8" s="39"/>
      <c r="F8" s="42" t="s">
        <v>47</v>
      </c>
      <c r="G8" s="42">
        <f>$C$14-($C$14/$C$13)*$C$16</f>
        <v>65</v>
      </c>
      <c r="H8" s="40"/>
      <c r="I8" s="40"/>
      <c r="J8" s="40"/>
      <c r="K8" s="40"/>
      <c r="L8" s="39"/>
      <c r="M8" s="39"/>
      <c r="N8" s="39"/>
      <c r="O8" s="39"/>
      <c r="P8" s="39"/>
      <c r="Q8" s="39"/>
      <c r="R8" s="39"/>
      <c r="S8" s="39"/>
      <c r="T8" s="39"/>
      <c r="U8" s="39"/>
      <c r="V8" s="42">
        <f t="shared" si="6"/>
        <v>0.4</v>
      </c>
      <c r="W8" s="42">
        <f t="shared" si="0"/>
        <v>44</v>
      </c>
      <c r="X8" s="42">
        <f t="shared" si="1"/>
        <v>170</v>
      </c>
      <c r="Y8" s="40"/>
      <c r="Z8" s="40"/>
      <c r="AA8" s="42">
        <f>AA7+0.2</f>
        <v>0.8</v>
      </c>
      <c r="AB8" s="44">
        <f t="shared" si="2"/>
        <v>48</v>
      </c>
      <c r="AC8" s="44">
        <f t="shared" si="3"/>
        <v>29.999999999999993</v>
      </c>
      <c r="AD8" s="42">
        <f>AD7+0.2</f>
        <v>0.8</v>
      </c>
      <c r="AE8" s="44">
        <f t="shared" si="4"/>
        <v>40</v>
      </c>
      <c r="AF8" s="44">
        <f t="shared" si="5"/>
        <v>25.999999999999993</v>
      </c>
      <c r="AG8" s="39"/>
      <c r="AH8" s="39"/>
      <c r="AI8" s="39"/>
      <c r="AJ8" s="39"/>
      <c r="AK8" s="39"/>
      <c r="AL8" s="39"/>
      <c r="AM8" s="39"/>
      <c r="AN8" s="39"/>
    </row>
    <row r="9" spans="1:40" ht="13.5" customHeight="1">
      <c r="A9" s="189" t="s">
        <v>33</v>
      </c>
      <c r="B9" s="176"/>
      <c r="C9" s="82">
        <f>'Linear PPC'!C2</f>
        <v>60</v>
      </c>
      <c r="D9" s="40"/>
      <c r="E9" s="39"/>
      <c r="F9" s="42" t="s">
        <v>48</v>
      </c>
      <c r="G9" s="42">
        <f>$C$15+$C$16</f>
        <v>50</v>
      </c>
      <c r="H9" s="40"/>
      <c r="I9" s="40"/>
      <c r="J9" s="40"/>
      <c r="K9" s="40"/>
      <c r="L9" s="39"/>
      <c r="M9" s="39"/>
      <c r="N9" s="39"/>
      <c r="O9" s="39"/>
      <c r="P9" s="39"/>
      <c r="Q9" s="39"/>
      <c r="R9" s="39"/>
      <c r="S9" s="39"/>
      <c r="T9" s="39"/>
      <c r="U9" s="39"/>
      <c r="V9" s="42">
        <f t="shared" si="6"/>
        <v>0.5</v>
      </c>
      <c r="W9" s="42">
        <f t="shared" si="0"/>
        <v>55</v>
      </c>
      <c r="X9" s="42">
        <f t="shared" si="1"/>
        <v>142.5</v>
      </c>
      <c r="Y9" s="40"/>
      <c r="Z9" s="40"/>
      <c r="AA9" s="42">
        <f>AA8+0.2</f>
        <v>1</v>
      </c>
      <c r="AB9" s="44">
        <f t="shared" si="2"/>
        <v>60</v>
      </c>
      <c r="AC9" s="44">
        <f t="shared" si="3"/>
        <v>0</v>
      </c>
      <c r="AD9" s="42">
        <f>AD8+0.2</f>
        <v>1</v>
      </c>
      <c r="AE9" s="44">
        <f t="shared" si="4"/>
        <v>50</v>
      </c>
      <c r="AF9" s="44">
        <f t="shared" si="5"/>
        <v>0</v>
      </c>
      <c r="AG9" s="39"/>
      <c r="AH9" s="39"/>
      <c r="AI9" s="39"/>
      <c r="AJ9" s="39"/>
      <c r="AK9" s="39"/>
      <c r="AL9" s="39"/>
      <c r="AM9" s="39"/>
      <c r="AN9" s="39"/>
    </row>
    <row r="10" spans="1:40" ht="13.5" customHeight="1" thickBot="1">
      <c r="A10" s="177" t="s">
        <v>34</v>
      </c>
      <c r="B10" s="178"/>
      <c r="C10" s="83">
        <f>'Linear PPC'!C3</f>
        <v>150</v>
      </c>
      <c r="D10" s="40"/>
      <c r="E10" s="39"/>
      <c r="F10" s="42" t="s">
        <v>51</v>
      </c>
      <c r="G10" s="42">
        <f>$G$7+$G$8</f>
        <v>152.5</v>
      </c>
      <c r="H10" s="40"/>
      <c r="I10" s="40"/>
      <c r="J10" s="40"/>
      <c r="K10" s="40"/>
      <c r="L10" s="39"/>
      <c r="M10" s="39"/>
      <c r="N10" s="39"/>
      <c r="O10" s="39"/>
      <c r="P10" s="39"/>
      <c r="Q10" s="39"/>
      <c r="R10" s="39"/>
      <c r="S10" s="39"/>
      <c r="T10" s="39"/>
      <c r="U10" s="39"/>
      <c r="V10" s="42">
        <f t="shared" si="6"/>
        <v>0.6</v>
      </c>
      <c r="W10" s="42">
        <f t="shared" si="0"/>
        <v>66</v>
      </c>
      <c r="X10" s="42">
        <f t="shared" si="1"/>
        <v>114.4</v>
      </c>
      <c r="Y10" s="40"/>
      <c r="Z10" s="40"/>
      <c r="AA10" s="40"/>
      <c r="AB10" s="40"/>
      <c r="AC10" s="40"/>
      <c r="AD10" s="40"/>
      <c r="AE10" s="40"/>
      <c r="AF10" s="40"/>
      <c r="AG10" s="39"/>
      <c r="AH10" s="39"/>
      <c r="AI10" s="39"/>
      <c r="AJ10" s="39"/>
      <c r="AK10" s="39"/>
      <c r="AL10" s="39"/>
      <c r="AM10" s="39"/>
      <c r="AN10" s="39"/>
    </row>
    <row r="11" spans="1:40" ht="13.5" customHeight="1" thickTop="1">
      <c r="A11" s="40"/>
      <c r="B11" s="40"/>
      <c r="C11" s="40"/>
      <c r="D11" s="40"/>
      <c r="E11" s="39"/>
      <c r="F11" s="42" t="s">
        <v>53</v>
      </c>
      <c r="G11" s="42">
        <f>MIN(($C$10+$C$14-$H$3*$G$9),($C$9+$C$13)*$H$4-$H$4*$G$9)</f>
        <v>155</v>
      </c>
      <c r="H11" s="199" t="s">
        <v>54</v>
      </c>
      <c r="I11" s="199"/>
      <c r="J11" s="199"/>
      <c r="K11" s="199"/>
      <c r="L11" s="199"/>
      <c r="M11" s="39"/>
      <c r="N11" s="39"/>
      <c r="O11" s="39"/>
      <c r="P11" s="39"/>
      <c r="Q11" s="39"/>
      <c r="R11" s="39"/>
      <c r="S11" s="39"/>
      <c r="T11" s="39"/>
      <c r="U11" s="39"/>
      <c r="V11" s="42">
        <f t="shared" si="6"/>
        <v>0.7</v>
      </c>
      <c r="W11" s="42">
        <f t="shared" si="0"/>
        <v>77</v>
      </c>
      <c r="X11" s="42">
        <f t="shared" si="1"/>
        <v>85.79999999999998</v>
      </c>
      <c r="Y11" s="40"/>
      <c r="Z11" s="40"/>
      <c r="AA11" s="40"/>
      <c r="AB11" s="40"/>
      <c r="AC11" s="40"/>
      <c r="AD11" s="40"/>
      <c r="AE11" s="40"/>
      <c r="AF11" s="40"/>
      <c r="AG11" s="39"/>
      <c r="AH11" s="39"/>
      <c r="AI11" s="39"/>
      <c r="AJ11" s="39"/>
      <c r="AK11" s="39"/>
      <c r="AL11" s="39"/>
      <c r="AM11" s="39"/>
      <c r="AN11" s="39"/>
    </row>
    <row r="12" spans="1:40" ht="13.5" customHeight="1" thickBot="1">
      <c r="A12" s="201" t="s">
        <v>191</v>
      </c>
      <c r="B12" s="201"/>
      <c r="C12" s="201"/>
      <c r="D12" s="40"/>
      <c r="E12" s="39"/>
      <c r="F12" s="40"/>
      <c r="G12" s="40"/>
      <c r="H12" s="199" t="s">
        <v>61</v>
      </c>
      <c r="I12" s="199"/>
      <c r="J12" s="199"/>
      <c r="K12" s="199"/>
      <c r="L12" s="199"/>
      <c r="M12" s="39"/>
      <c r="N12" s="39"/>
      <c r="O12" s="39"/>
      <c r="P12" s="39"/>
      <c r="Q12" s="39"/>
      <c r="R12" s="39"/>
      <c r="S12" s="39"/>
      <c r="T12" s="39"/>
      <c r="U12" s="39"/>
      <c r="V12" s="42">
        <f t="shared" si="6"/>
        <v>0.7999999999999999</v>
      </c>
      <c r="W12" s="42">
        <f t="shared" si="0"/>
        <v>87.99999999999999</v>
      </c>
      <c r="X12" s="42">
        <f t="shared" si="1"/>
        <v>57.20000000000002</v>
      </c>
      <c r="Y12" s="40"/>
      <c r="Z12" s="40"/>
      <c r="AA12" s="40"/>
      <c r="AB12" s="40"/>
      <c r="AC12" s="40"/>
      <c r="AD12" s="40"/>
      <c r="AE12" s="40"/>
      <c r="AF12" s="40"/>
      <c r="AG12" s="39"/>
      <c r="AH12" s="39"/>
      <c r="AI12" s="39"/>
      <c r="AJ12" s="39"/>
      <c r="AK12" s="39"/>
      <c r="AL12" s="39"/>
      <c r="AM12" s="39"/>
      <c r="AN12" s="39"/>
    </row>
    <row r="13" spans="1:40" ht="13.5" customHeight="1" thickTop="1">
      <c r="A13" s="202" t="s">
        <v>39</v>
      </c>
      <c r="B13" s="202"/>
      <c r="C13" s="10">
        <v>50</v>
      </c>
      <c r="D13" s="40"/>
      <c r="E13" s="39"/>
      <c r="F13" s="39"/>
      <c r="G13" s="39"/>
      <c r="H13" s="39"/>
      <c r="I13" s="39"/>
      <c r="J13" s="39"/>
      <c r="K13" s="39"/>
      <c r="L13" s="39"/>
      <c r="M13" s="39"/>
      <c r="N13" s="39"/>
      <c r="O13" s="39"/>
      <c r="P13" s="39"/>
      <c r="Q13" s="39"/>
      <c r="R13" s="39"/>
      <c r="S13" s="39"/>
      <c r="T13" s="39"/>
      <c r="U13" s="39"/>
      <c r="V13" s="42">
        <f t="shared" si="6"/>
        <v>0.8999999999999999</v>
      </c>
      <c r="W13" s="42">
        <f t="shared" si="0"/>
        <v>98.99999999999999</v>
      </c>
      <c r="X13" s="42">
        <f t="shared" si="1"/>
        <v>28.600000000000023</v>
      </c>
      <c r="Y13" s="40"/>
      <c r="Z13" s="40"/>
      <c r="AA13" s="40"/>
      <c r="AB13" s="40"/>
      <c r="AC13" s="40"/>
      <c r="AD13" s="40"/>
      <c r="AE13" s="40"/>
      <c r="AF13" s="40"/>
      <c r="AG13" s="39"/>
      <c r="AH13" s="39"/>
      <c r="AI13" s="39"/>
      <c r="AJ13" s="39"/>
      <c r="AK13" s="39"/>
      <c r="AL13" s="39"/>
      <c r="AM13" s="39"/>
      <c r="AN13" s="39"/>
    </row>
    <row r="14" spans="1:40" ht="13.5" customHeight="1">
      <c r="A14" s="203" t="s">
        <v>41</v>
      </c>
      <c r="B14" s="203"/>
      <c r="C14" s="11">
        <v>130</v>
      </c>
      <c r="D14" s="40"/>
      <c r="E14" s="39"/>
      <c r="F14" s="43" t="s">
        <v>62</v>
      </c>
      <c r="G14" s="43">
        <f>100*(G11/G10-1)</f>
        <v>1.6393442622950838</v>
      </c>
      <c r="H14" s="183" t="s">
        <v>63</v>
      </c>
      <c r="I14" s="183"/>
      <c r="J14" s="183"/>
      <c r="K14" s="183"/>
      <c r="L14" s="39"/>
      <c r="M14" s="39"/>
      <c r="N14" s="39"/>
      <c r="O14" s="39"/>
      <c r="P14" s="39"/>
      <c r="Q14" s="39"/>
      <c r="R14" s="39"/>
      <c r="S14" s="39"/>
      <c r="T14" s="39"/>
      <c r="U14" s="39"/>
      <c r="V14" s="42">
        <f t="shared" si="6"/>
        <v>0.9999999999999999</v>
      </c>
      <c r="W14" s="42">
        <f t="shared" si="0"/>
        <v>109.99999999999999</v>
      </c>
      <c r="X14" s="42">
        <f t="shared" si="1"/>
        <v>0</v>
      </c>
      <c r="Y14" s="40"/>
      <c r="Z14" s="40"/>
      <c r="AA14" s="40"/>
      <c r="AB14" s="40"/>
      <c r="AC14" s="40"/>
      <c r="AD14" s="40"/>
      <c r="AE14" s="40"/>
      <c r="AF14" s="40"/>
      <c r="AG14" s="39"/>
      <c r="AH14" s="39"/>
      <c r="AI14" s="39"/>
      <c r="AJ14" s="39"/>
      <c r="AK14" s="39"/>
      <c r="AL14" s="39"/>
      <c r="AM14" s="39"/>
      <c r="AN14" s="39"/>
    </row>
    <row r="15" spans="1:40" ht="13.5" customHeight="1">
      <c r="A15" s="203" t="s">
        <v>43</v>
      </c>
      <c r="B15" s="203"/>
      <c r="C15" s="11">
        <v>25</v>
      </c>
      <c r="D15" s="40"/>
      <c r="E15" s="39"/>
      <c r="F15" s="39"/>
      <c r="G15" s="39"/>
      <c r="H15" s="39"/>
      <c r="I15" s="39"/>
      <c r="J15" s="39"/>
      <c r="K15" s="40"/>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row>
    <row r="16" spans="1:40" ht="13.5" customHeight="1">
      <c r="A16" s="203" t="s">
        <v>45</v>
      </c>
      <c r="B16" s="203"/>
      <c r="C16" s="11">
        <v>25</v>
      </c>
      <c r="D16" s="40"/>
      <c r="E16" s="39"/>
      <c r="F16" s="200" t="s">
        <v>192</v>
      </c>
      <c r="G16" s="200"/>
      <c r="H16" s="40"/>
      <c r="I16" s="40"/>
      <c r="J16" s="40"/>
      <c r="K16" s="40"/>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ht="13.5" customHeight="1">
      <c r="A17" s="185" t="str">
        <f>IF(C15&gt;C9,"A's X must be &lt;= A's max X"," ")</f>
        <v> </v>
      </c>
      <c r="B17" s="185"/>
      <c r="C17" s="185"/>
      <c r="D17" s="40"/>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row>
    <row r="18" spans="1:40" ht="13.5" customHeight="1">
      <c r="A18" s="184" t="str">
        <f>IF(C16&gt;C13,"B's X must be &lt;= B's max X"," ")</f>
        <v> </v>
      </c>
      <c r="B18" s="184"/>
      <c r="C18" s="184"/>
      <c r="D18" s="40"/>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ht="13.5" customHeight="1">
      <c r="A19" s="40"/>
      <c r="B19" s="40"/>
      <c r="C19" s="40"/>
      <c r="D19" s="40"/>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row>
    <row r="20" spans="1:40" ht="13.5" customHeight="1">
      <c r="A20" s="40"/>
      <c r="B20" s="40"/>
      <c r="C20" s="40"/>
      <c r="D20" s="4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ht="13.5" customHeight="1">
      <c r="A21" s="40"/>
      <c r="B21" s="40"/>
      <c r="C21" s="40"/>
      <c r="D21" s="40"/>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1:40" ht="13.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40" ht="13.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row>
    <row r="24" spans="1:40" ht="13.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ht="13.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13.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row>
    <row r="27" spans="1:40" ht="13.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0" ht="13.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ht="13.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row>
    <row r="30" spans="1:40" ht="13.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0" ht="13.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0" ht="13.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1:40" ht="13.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1:40" ht="13.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1:40" ht="13.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row>
    <row r="36" spans="1:40" ht="13.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row>
    <row r="37" spans="1:40" ht="13.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row>
    <row r="38" spans="1:40" ht="13.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row>
    <row r="39" spans="1:40" ht="13.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3.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3.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3.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3.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3.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row>
    <row r="45" spans="1:40" ht="13.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3.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row r="47" spans="1:40" ht="13.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row>
    <row r="48" spans="1:40" ht="13.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row>
    <row r="49" spans="1:40" ht="13.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row>
    <row r="50" spans="1:40" ht="13.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row>
  </sheetData>
  <mergeCells count="24">
    <mergeCell ref="F6:H6"/>
    <mergeCell ref="A18:C18"/>
    <mergeCell ref="A17:C17"/>
    <mergeCell ref="A8:C8"/>
    <mergeCell ref="A9:B9"/>
    <mergeCell ref="A10:B10"/>
    <mergeCell ref="A13:B13"/>
    <mergeCell ref="A14:B14"/>
    <mergeCell ref="A15:B15"/>
    <mergeCell ref="H11:L11"/>
    <mergeCell ref="A16:B16"/>
    <mergeCell ref="W1:X1"/>
    <mergeCell ref="W2:X2"/>
    <mergeCell ref="AB2:AC2"/>
    <mergeCell ref="H12:L12"/>
    <mergeCell ref="F3:G3"/>
    <mergeCell ref="F4:G4"/>
    <mergeCell ref="F16:G16"/>
    <mergeCell ref="H14:K14"/>
    <mergeCell ref="A12:C12"/>
    <mergeCell ref="AE2:AF2"/>
    <mergeCell ref="AE1:AF1"/>
    <mergeCell ref="AB1:AC1"/>
    <mergeCell ref="F2:H2"/>
  </mergeCells>
  <printOptions/>
  <pageMargins left="0.75" right="0.75" top="1" bottom="1" header="0.5" footer="0.5"/>
  <pageSetup horizontalDpi="180" verticalDpi="18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AO75"/>
  <sheetViews>
    <sheetView workbookViewId="0" topLeftCell="A1">
      <selection activeCell="A1" sqref="A1"/>
    </sheetView>
  </sheetViews>
  <sheetFormatPr defaultColWidth="9.140625" defaultRowHeight="12.75"/>
  <sheetData>
    <row r="1" spans="1:41" ht="13.5" customHeight="1" thickBot="1">
      <c r="A1" s="45"/>
      <c r="B1" s="45"/>
      <c r="C1" s="45"/>
      <c r="D1" s="45"/>
      <c r="E1" s="45"/>
      <c r="F1" s="45"/>
      <c r="G1" s="45"/>
      <c r="H1" s="45"/>
      <c r="I1" s="45"/>
      <c r="J1" s="45"/>
      <c r="K1" s="45"/>
      <c r="L1" s="45"/>
      <c r="M1" s="45"/>
      <c r="N1" s="45"/>
      <c r="O1" s="45"/>
      <c r="P1" s="46"/>
      <c r="Q1" s="46"/>
      <c r="R1" s="46"/>
      <c r="S1" s="46"/>
      <c r="T1" s="46"/>
      <c r="U1" s="46"/>
      <c r="V1" s="46"/>
      <c r="W1" s="46"/>
      <c r="X1" s="46"/>
      <c r="Y1" s="46"/>
      <c r="Z1" s="45"/>
      <c r="AA1" s="48" t="s">
        <v>26</v>
      </c>
      <c r="AB1" s="48" t="s">
        <v>0</v>
      </c>
      <c r="AC1" s="48" t="s">
        <v>42</v>
      </c>
      <c r="AD1" s="48" t="s">
        <v>57</v>
      </c>
      <c r="AE1" s="48" t="s">
        <v>60</v>
      </c>
      <c r="AF1" s="45"/>
      <c r="AG1" s="45"/>
      <c r="AH1" s="45" t="s">
        <v>68</v>
      </c>
      <c r="AI1" s="45">
        <f>MIN($C$4/$C$3,$C$6/$C$5)</f>
        <v>2.6</v>
      </c>
      <c r="AJ1" s="45"/>
      <c r="AK1" s="45"/>
      <c r="AL1" s="45"/>
      <c r="AM1" s="45"/>
      <c r="AN1" s="45"/>
      <c r="AO1" s="45"/>
    </row>
    <row r="2" spans="1:41" ht="13.5" customHeight="1" thickTop="1">
      <c r="A2" s="174" t="s">
        <v>215</v>
      </c>
      <c r="B2" s="175"/>
      <c r="C2" s="220"/>
      <c r="D2" s="45"/>
      <c r="E2" s="45"/>
      <c r="F2" s="45"/>
      <c r="G2" s="45"/>
      <c r="H2" s="45"/>
      <c r="I2" s="45"/>
      <c r="J2" s="45"/>
      <c r="K2" s="45"/>
      <c r="L2" s="45"/>
      <c r="M2" s="45"/>
      <c r="N2" s="45"/>
      <c r="O2" s="45"/>
      <c r="P2" s="45"/>
      <c r="Q2" s="45"/>
      <c r="R2" s="45"/>
      <c r="S2" s="45"/>
      <c r="T2" s="45"/>
      <c r="U2" s="45"/>
      <c r="V2" s="45"/>
      <c r="W2" s="45"/>
      <c r="X2" s="45"/>
      <c r="Y2" s="45"/>
      <c r="Z2" s="45"/>
      <c r="AA2" s="47">
        <v>0</v>
      </c>
      <c r="AB2" s="47">
        <f>AA2*($C$3+$C$5)</f>
        <v>0</v>
      </c>
      <c r="AC2" s="47">
        <f>MIN(($C$4+$C$6-$AI$1*AB2),($C$3+$C$5)*$AI$2-$AI$2*AB2)</f>
        <v>530</v>
      </c>
      <c r="AD2" s="47">
        <f aca="true" t="shared" si="0" ref="AD2:AD42">$C$4-($C$4/$C$3)*AB2</f>
        <v>400</v>
      </c>
      <c r="AE2" s="47">
        <f>$C$6-($C$6/$C$5)*AB2</f>
        <v>130</v>
      </c>
      <c r="AF2" s="45"/>
      <c r="AG2" s="45"/>
      <c r="AH2" s="45" t="s">
        <v>69</v>
      </c>
      <c r="AI2" s="45">
        <f>MAX($C$4/$C$3,$C$6/$C$5)</f>
        <v>6.666666666666667</v>
      </c>
      <c r="AJ2" s="45"/>
      <c r="AK2" s="45"/>
      <c r="AL2" s="45"/>
      <c r="AM2" s="45"/>
      <c r="AN2" s="45"/>
      <c r="AO2" s="45"/>
    </row>
    <row r="3" spans="1:41" ht="13.5" customHeight="1">
      <c r="A3" s="179" t="s">
        <v>64</v>
      </c>
      <c r="B3" s="180"/>
      <c r="C3" s="80">
        <f>Gains_Linear!C9</f>
        <v>60</v>
      </c>
      <c r="D3" s="45"/>
      <c r="E3" s="45"/>
      <c r="F3" s="45"/>
      <c r="G3" s="45"/>
      <c r="H3" s="45"/>
      <c r="I3" s="45"/>
      <c r="J3" s="45"/>
      <c r="K3" s="45"/>
      <c r="L3" s="45"/>
      <c r="M3" s="45"/>
      <c r="N3" s="45"/>
      <c r="O3" s="45"/>
      <c r="P3" s="45"/>
      <c r="Q3" s="45"/>
      <c r="R3" s="45"/>
      <c r="S3" s="45"/>
      <c r="T3" s="45"/>
      <c r="U3" s="45"/>
      <c r="V3" s="45"/>
      <c r="W3" s="45"/>
      <c r="X3" s="45"/>
      <c r="Y3" s="45"/>
      <c r="Z3" s="45"/>
      <c r="AA3" s="47">
        <f aca="true" t="shared" si="1" ref="AA3:AA42">AA2+0.025</f>
        <v>0.025</v>
      </c>
      <c r="AB3" s="47">
        <f>AA3*($C$3+$C$5)</f>
        <v>2.75</v>
      </c>
      <c r="AC3" s="47">
        <f>MIN(($C$4+$C$6-$AI$1*AB3),($C$3+$C$5)*$AI$2-$AI$2*AB3)</f>
        <v>522.85</v>
      </c>
      <c r="AD3" s="47">
        <f t="shared" si="0"/>
        <v>381.6666666666667</v>
      </c>
      <c r="AE3" s="47">
        <f>$C$6-($C$6/$C$5)*AB3</f>
        <v>122.85</v>
      </c>
      <c r="AF3" s="45"/>
      <c r="AG3" s="45"/>
      <c r="AH3" s="45"/>
      <c r="AI3" s="45"/>
      <c r="AJ3" s="45"/>
      <c r="AK3" s="45"/>
      <c r="AL3" s="45"/>
      <c r="AM3" s="45"/>
      <c r="AN3" s="45"/>
      <c r="AO3" s="45"/>
    </row>
    <row r="4" spans="1:41" ht="13.5" customHeight="1">
      <c r="A4" s="179" t="s">
        <v>65</v>
      </c>
      <c r="B4" s="180"/>
      <c r="C4" s="80">
        <v>400</v>
      </c>
      <c r="D4" s="45"/>
      <c r="E4" s="45"/>
      <c r="F4" s="45"/>
      <c r="G4" s="45"/>
      <c r="H4" s="45"/>
      <c r="I4" s="45"/>
      <c r="J4" s="45"/>
      <c r="K4" s="45"/>
      <c r="L4" s="45"/>
      <c r="M4" s="45"/>
      <c r="N4" s="45"/>
      <c r="O4" s="45"/>
      <c r="P4" s="45"/>
      <c r="Q4" s="45"/>
      <c r="R4" s="45"/>
      <c r="S4" s="45"/>
      <c r="T4" s="45"/>
      <c r="U4" s="45"/>
      <c r="V4" s="45"/>
      <c r="W4" s="45"/>
      <c r="X4" s="45"/>
      <c r="Y4" s="45"/>
      <c r="Z4" s="45"/>
      <c r="AA4" s="47">
        <f t="shared" si="1"/>
        <v>0.05</v>
      </c>
      <c r="AB4" s="47">
        <f>AA4*($C$3+$C$5)</f>
        <v>5.5</v>
      </c>
      <c r="AC4" s="47">
        <f>MIN(($C$4+$C$6-$AI$1*AB4),($C$3+$C$5)*$AI$2-$AI$2*AB4)</f>
        <v>515.7</v>
      </c>
      <c r="AD4" s="47">
        <f t="shared" si="0"/>
        <v>363.3333333333333</v>
      </c>
      <c r="AE4" s="47">
        <f>$C$6-($C$6/$C$5)*AB4</f>
        <v>115.7</v>
      </c>
      <c r="AF4" s="45"/>
      <c r="AG4" s="45"/>
      <c r="AH4" s="45"/>
      <c r="AI4" s="45"/>
      <c r="AJ4" s="45"/>
      <c r="AK4" s="45"/>
      <c r="AL4" s="45"/>
      <c r="AM4" s="45"/>
      <c r="AN4" s="45"/>
      <c r="AO4" s="45"/>
    </row>
    <row r="5" spans="1:41" ht="13.5" customHeight="1">
      <c r="A5" s="315" t="s">
        <v>66</v>
      </c>
      <c r="B5" s="316"/>
      <c r="C5" s="80">
        <f>Gains_Linear!C13</f>
        <v>50</v>
      </c>
      <c r="D5" s="45"/>
      <c r="E5" s="45"/>
      <c r="F5" s="45"/>
      <c r="G5" s="45"/>
      <c r="H5" s="45"/>
      <c r="I5" s="45"/>
      <c r="J5" s="45"/>
      <c r="K5" s="45"/>
      <c r="L5" s="45"/>
      <c r="M5" s="45"/>
      <c r="N5" s="45"/>
      <c r="O5" s="45"/>
      <c r="P5" s="45"/>
      <c r="Q5" s="45"/>
      <c r="R5" s="45"/>
      <c r="S5" s="45"/>
      <c r="T5" s="45"/>
      <c r="U5" s="45"/>
      <c r="V5" s="45"/>
      <c r="W5" s="45"/>
      <c r="X5" s="45"/>
      <c r="Y5" s="45"/>
      <c r="Z5" s="45"/>
      <c r="AA5" s="47">
        <f t="shared" si="1"/>
        <v>0.07500000000000001</v>
      </c>
      <c r="AB5" s="47">
        <f>AA5*($C$3+$C$5)</f>
        <v>8.250000000000002</v>
      </c>
      <c r="AC5" s="47">
        <f>MIN(($C$4+$C$6-$AI$1*AB5),($C$3+$C$5)*$AI$2-$AI$2*AB5)</f>
        <v>508.55</v>
      </c>
      <c r="AD5" s="47">
        <f t="shared" si="0"/>
        <v>345</v>
      </c>
      <c r="AE5" s="47">
        <f>$C$6-($C$6/$C$5)*AB5</f>
        <v>108.55</v>
      </c>
      <c r="AF5" s="45"/>
      <c r="AG5" s="45"/>
      <c r="AH5" s="45"/>
      <c r="AI5" s="45"/>
      <c r="AJ5" s="45"/>
      <c r="AK5" s="45"/>
      <c r="AL5" s="45"/>
      <c r="AM5" s="45"/>
      <c r="AN5" s="45"/>
      <c r="AO5" s="45"/>
    </row>
    <row r="6" spans="1:41" ht="13.5" customHeight="1" thickBot="1">
      <c r="A6" s="181" t="s">
        <v>67</v>
      </c>
      <c r="B6" s="182"/>
      <c r="C6" s="81">
        <f>Gains_Linear!C14</f>
        <v>130</v>
      </c>
      <c r="D6" s="45"/>
      <c r="E6" s="45"/>
      <c r="F6" s="45"/>
      <c r="G6" s="45"/>
      <c r="H6" s="45"/>
      <c r="I6" s="45"/>
      <c r="J6" s="45"/>
      <c r="K6" s="45"/>
      <c r="L6" s="45"/>
      <c r="M6" s="45"/>
      <c r="N6" s="45"/>
      <c r="O6" s="45"/>
      <c r="P6" s="45"/>
      <c r="Q6" s="45"/>
      <c r="R6" s="45"/>
      <c r="S6" s="45"/>
      <c r="T6" s="45"/>
      <c r="U6" s="45"/>
      <c r="V6" s="45"/>
      <c r="W6" s="45"/>
      <c r="X6" s="45"/>
      <c r="Y6" s="45"/>
      <c r="Z6" s="45"/>
      <c r="AA6" s="47">
        <f t="shared" si="1"/>
        <v>0.1</v>
      </c>
      <c r="AB6" s="47">
        <f>AA6*($C$3+$C$5)</f>
        <v>11</v>
      </c>
      <c r="AC6" s="47">
        <f>MIN(($C$4+$C$6-$AI$1*AB6),($C$3+$C$5)*$AI$2-$AI$2*AB6)</f>
        <v>501.4</v>
      </c>
      <c r="AD6" s="47">
        <f t="shared" si="0"/>
        <v>326.66666666666663</v>
      </c>
      <c r="AE6" s="47">
        <f>$C$6-($C$6/$C$5)*AB6</f>
        <v>101.4</v>
      </c>
      <c r="AF6" s="45"/>
      <c r="AG6" s="45"/>
      <c r="AH6" s="45"/>
      <c r="AI6" s="45"/>
      <c r="AJ6" s="45"/>
      <c r="AK6" s="45"/>
      <c r="AL6" s="45"/>
      <c r="AM6" s="45"/>
      <c r="AN6" s="45"/>
      <c r="AO6" s="45"/>
    </row>
    <row r="7" spans="1:41" ht="13.5" customHeight="1" thickTop="1">
      <c r="A7" s="45"/>
      <c r="B7" s="45"/>
      <c r="C7" s="45"/>
      <c r="D7" s="45"/>
      <c r="E7" s="45"/>
      <c r="F7" s="45"/>
      <c r="G7" s="45"/>
      <c r="H7" s="45"/>
      <c r="I7" s="45"/>
      <c r="J7" s="45"/>
      <c r="K7" s="45"/>
      <c r="L7" s="45"/>
      <c r="M7" s="45"/>
      <c r="N7" s="45"/>
      <c r="O7" s="45"/>
      <c r="P7" s="45"/>
      <c r="Q7" s="45"/>
      <c r="R7" s="45"/>
      <c r="S7" s="45"/>
      <c r="T7" s="45"/>
      <c r="U7" s="45"/>
      <c r="V7" s="45"/>
      <c r="W7" s="45"/>
      <c r="X7" s="45"/>
      <c r="Y7" s="45"/>
      <c r="Z7" s="45"/>
      <c r="AA7" s="47">
        <f t="shared" si="1"/>
        <v>0.125</v>
      </c>
      <c r="AB7" s="47">
        <f>AA7*($C$3+$C$5)</f>
        <v>13.75</v>
      </c>
      <c r="AC7" s="47">
        <f>MIN(($C$4+$C$6-$AI$1*AB7),($C$3+$C$5)*$AI$2-$AI$2*AB7)</f>
        <v>494.25</v>
      </c>
      <c r="AD7" s="47">
        <f t="shared" si="0"/>
        <v>308.3333333333333</v>
      </c>
      <c r="AE7" s="47">
        <f>$C$6-($C$6/$C$5)*AB7</f>
        <v>94.25</v>
      </c>
      <c r="AF7" s="45"/>
      <c r="AG7" s="45"/>
      <c r="AH7" s="45"/>
      <c r="AI7" s="45"/>
      <c r="AJ7" s="45"/>
      <c r="AK7" s="45"/>
      <c r="AL7" s="45"/>
      <c r="AM7" s="45"/>
      <c r="AN7" s="45"/>
      <c r="AO7" s="45"/>
    </row>
    <row r="8" spans="1:41" ht="13.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7">
        <f t="shared" si="1"/>
        <v>0.15</v>
      </c>
      <c r="AB8" s="47">
        <f>AA8*($C$3+$C$5)</f>
        <v>16.5</v>
      </c>
      <c r="AC8" s="47">
        <f>MIN(($C$4+$C$6-$AI$1*AB8),($C$3+$C$5)*$AI$2-$AI$2*AB8)</f>
        <v>487.1</v>
      </c>
      <c r="AD8" s="47">
        <f t="shared" si="0"/>
        <v>290</v>
      </c>
      <c r="AE8" s="47">
        <f>$C$6-($C$6/$C$5)*AB8</f>
        <v>87.1</v>
      </c>
      <c r="AF8" s="45"/>
      <c r="AG8" s="45"/>
      <c r="AH8" s="45"/>
      <c r="AI8" s="45"/>
      <c r="AJ8" s="45"/>
      <c r="AK8" s="45"/>
      <c r="AL8" s="45"/>
      <c r="AM8" s="45"/>
      <c r="AN8" s="45"/>
      <c r="AO8" s="45"/>
    </row>
    <row r="9" spans="1:41" ht="13.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7">
        <f t="shared" si="1"/>
        <v>0.175</v>
      </c>
      <c r="AB9" s="47">
        <f>AA9*($C$3+$C$5)</f>
        <v>19.25</v>
      </c>
      <c r="AC9" s="47">
        <f>MIN(($C$4+$C$6-$AI$1*AB9),($C$3+$C$5)*$AI$2-$AI$2*AB9)</f>
        <v>479.95</v>
      </c>
      <c r="AD9" s="47">
        <f t="shared" si="0"/>
        <v>271.66666666666663</v>
      </c>
      <c r="AE9" s="47">
        <f>$C$6-($C$6/$C$5)*AB9</f>
        <v>79.94999999999999</v>
      </c>
      <c r="AF9" s="45"/>
      <c r="AG9" s="45"/>
      <c r="AH9" s="45"/>
      <c r="AI9" s="45"/>
      <c r="AJ9" s="45"/>
      <c r="AK9" s="45"/>
      <c r="AL9" s="45"/>
      <c r="AM9" s="45"/>
      <c r="AN9" s="45"/>
      <c r="AO9" s="45"/>
    </row>
    <row r="10" spans="1:41" ht="13.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7">
        <f t="shared" si="1"/>
        <v>0.19999999999999998</v>
      </c>
      <c r="AB10" s="47">
        <f>AA10*($C$3+$C$5)</f>
        <v>21.999999999999996</v>
      </c>
      <c r="AC10" s="47">
        <f>MIN(($C$4+$C$6-$AI$1*AB10),($C$3+$C$5)*$AI$2-$AI$2*AB10)</f>
        <v>472.8</v>
      </c>
      <c r="AD10" s="47">
        <f t="shared" si="0"/>
        <v>253.33333333333334</v>
      </c>
      <c r="AE10" s="47">
        <f>$C$6-($C$6/$C$5)*AB10</f>
        <v>72.80000000000001</v>
      </c>
      <c r="AF10" s="45"/>
      <c r="AG10" s="45"/>
      <c r="AH10" s="45"/>
      <c r="AI10" s="45"/>
      <c r="AJ10" s="45"/>
      <c r="AK10" s="45"/>
      <c r="AL10" s="45"/>
      <c r="AM10" s="45"/>
      <c r="AN10" s="45"/>
      <c r="AO10" s="45"/>
    </row>
    <row r="11" spans="1:41" ht="13.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7">
        <f t="shared" si="1"/>
        <v>0.22499999999999998</v>
      </c>
      <c r="AB11" s="47">
        <f>AA11*($C$3+$C$5)</f>
        <v>24.749999999999996</v>
      </c>
      <c r="AC11" s="47">
        <f>MIN(($C$4+$C$6-$AI$1*AB11),($C$3+$C$5)*$AI$2-$AI$2*AB11)</f>
        <v>465.65</v>
      </c>
      <c r="AD11" s="47">
        <f t="shared" si="0"/>
        <v>235.00000000000003</v>
      </c>
      <c r="AE11" s="47">
        <f>$C$6-($C$6/$C$5)*AB11</f>
        <v>65.65</v>
      </c>
      <c r="AF11" s="45"/>
      <c r="AG11" s="45"/>
      <c r="AH11" s="45"/>
      <c r="AI11" s="45"/>
      <c r="AJ11" s="45"/>
      <c r="AK11" s="45"/>
      <c r="AL11" s="45"/>
      <c r="AM11" s="45"/>
      <c r="AN11" s="45"/>
      <c r="AO11" s="45"/>
    </row>
    <row r="12" spans="1:41" ht="13.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7">
        <f t="shared" si="1"/>
        <v>0.24999999999999997</v>
      </c>
      <c r="AB12" s="47">
        <f>AA12*($C$3+$C$5)</f>
        <v>27.499999999999996</v>
      </c>
      <c r="AC12" s="47">
        <f>MIN(($C$4+$C$6-$AI$1*AB12),($C$3+$C$5)*$AI$2-$AI$2*AB12)</f>
        <v>458.5</v>
      </c>
      <c r="AD12" s="47">
        <f t="shared" si="0"/>
        <v>216.66666666666669</v>
      </c>
      <c r="AE12" s="47">
        <f>$C$6-($C$6/$C$5)*AB12</f>
        <v>58.5</v>
      </c>
      <c r="AF12" s="45"/>
      <c r="AG12" s="45"/>
      <c r="AH12" s="45"/>
      <c r="AI12" s="45"/>
      <c r="AJ12" s="45"/>
      <c r="AK12" s="45"/>
      <c r="AL12" s="45"/>
      <c r="AM12" s="45"/>
      <c r="AN12" s="45"/>
      <c r="AO12" s="45"/>
    </row>
    <row r="13" spans="1:41" ht="13.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7">
        <f t="shared" si="1"/>
        <v>0.27499999999999997</v>
      </c>
      <c r="AB13" s="47">
        <f>AA13*($C$3+$C$5)</f>
        <v>30.249999999999996</v>
      </c>
      <c r="AC13" s="47">
        <f>MIN(($C$4+$C$6-$AI$1*AB13),($C$3+$C$5)*$AI$2-$AI$2*AB13)</f>
        <v>451.35</v>
      </c>
      <c r="AD13" s="47">
        <f t="shared" si="0"/>
        <v>198.33333333333334</v>
      </c>
      <c r="AE13" s="47">
        <f>$C$6-($C$6/$C$5)*AB13</f>
        <v>51.35000000000001</v>
      </c>
      <c r="AF13" s="45"/>
      <c r="AG13" s="45"/>
      <c r="AH13" s="45"/>
      <c r="AI13" s="45"/>
      <c r="AJ13" s="45"/>
      <c r="AK13" s="45"/>
      <c r="AL13" s="45"/>
      <c r="AM13" s="45"/>
      <c r="AN13" s="45"/>
      <c r="AO13" s="45"/>
    </row>
    <row r="14" spans="1:41"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7">
        <f t="shared" si="1"/>
        <v>0.3</v>
      </c>
      <c r="AB14" s="47">
        <f>AA14*($C$3+$C$5)</f>
        <v>33</v>
      </c>
      <c r="AC14" s="47">
        <f>MIN(($C$4+$C$6-$AI$1*AB14),($C$3+$C$5)*$AI$2-$AI$2*AB14)</f>
        <v>444.2</v>
      </c>
      <c r="AD14" s="47">
        <f t="shared" si="0"/>
        <v>180</v>
      </c>
      <c r="AE14" s="47">
        <f>$C$6-($C$6/$C$5)*AB14</f>
        <v>44.2</v>
      </c>
      <c r="AF14" s="45"/>
      <c r="AG14" s="45"/>
      <c r="AH14" s="45"/>
      <c r="AI14" s="45"/>
      <c r="AJ14" s="45"/>
      <c r="AK14" s="45"/>
      <c r="AL14" s="45"/>
      <c r="AM14" s="45"/>
      <c r="AN14" s="45"/>
      <c r="AO14" s="45"/>
    </row>
    <row r="15" spans="1:41"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7">
        <f t="shared" si="1"/>
        <v>0.325</v>
      </c>
      <c r="AB15" s="47">
        <f>AA15*($C$3+$C$5)</f>
        <v>35.75</v>
      </c>
      <c r="AC15" s="47">
        <f>MIN(($C$4+$C$6-$AI$1*AB15),($C$3+$C$5)*$AI$2-$AI$2*AB15)</f>
        <v>437.05</v>
      </c>
      <c r="AD15" s="47">
        <f t="shared" si="0"/>
        <v>161.66666666666666</v>
      </c>
      <c r="AE15" s="47">
        <f>$C$6-($C$6/$C$5)*AB15</f>
        <v>37.05</v>
      </c>
      <c r="AF15" s="45"/>
      <c r="AG15" s="45"/>
      <c r="AH15" s="45"/>
      <c r="AI15" s="45"/>
      <c r="AJ15" s="45"/>
      <c r="AK15" s="45"/>
      <c r="AL15" s="45"/>
      <c r="AM15" s="45"/>
      <c r="AN15" s="45"/>
      <c r="AO15" s="45"/>
    </row>
    <row r="16" spans="1:41"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7">
        <f t="shared" si="1"/>
        <v>0.35000000000000003</v>
      </c>
      <c r="AB16" s="47">
        <f>AA16*($C$3+$C$5)</f>
        <v>38.50000000000001</v>
      </c>
      <c r="AC16" s="47">
        <f>MIN(($C$4+$C$6-$AI$1*AB16),($C$3+$C$5)*$AI$2-$AI$2*AB16)</f>
        <v>429.9</v>
      </c>
      <c r="AD16" s="47">
        <f t="shared" si="0"/>
        <v>143.33333333333326</v>
      </c>
      <c r="AE16" s="47">
        <f>$C$6-($C$6/$C$5)*AB16</f>
        <v>29.899999999999977</v>
      </c>
      <c r="AF16" s="45"/>
      <c r="AG16" s="45"/>
      <c r="AH16" s="45"/>
      <c r="AI16" s="45"/>
      <c r="AJ16" s="45"/>
      <c r="AK16" s="45"/>
      <c r="AL16" s="45"/>
      <c r="AM16" s="45"/>
      <c r="AN16" s="45"/>
      <c r="AO16" s="45"/>
    </row>
    <row r="17" spans="1:41"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7">
        <f t="shared" si="1"/>
        <v>0.37500000000000006</v>
      </c>
      <c r="AB17" s="47">
        <f>AA17*($C$3+$C$5)</f>
        <v>41.25000000000001</v>
      </c>
      <c r="AC17" s="47">
        <f>MIN(($C$4+$C$6-$AI$1*AB17),($C$3+$C$5)*$AI$2-$AI$2*AB17)</f>
        <v>422.75</v>
      </c>
      <c r="AD17" s="47">
        <f t="shared" si="0"/>
        <v>124.99999999999994</v>
      </c>
      <c r="AE17" s="47">
        <f>$C$6-($C$6/$C$5)*AB17</f>
        <v>22.74999999999997</v>
      </c>
      <c r="AF17" s="45"/>
      <c r="AG17" s="45"/>
      <c r="AH17" s="45"/>
      <c r="AI17" s="45"/>
      <c r="AJ17" s="45"/>
      <c r="AK17" s="45"/>
      <c r="AL17" s="45"/>
      <c r="AM17" s="45"/>
      <c r="AN17" s="45"/>
      <c r="AO17" s="45"/>
    </row>
    <row r="18" spans="1:41"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7">
        <f t="shared" si="1"/>
        <v>0.4000000000000001</v>
      </c>
      <c r="AB18" s="47">
        <f>AA18*($C$3+$C$5)</f>
        <v>44.00000000000001</v>
      </c>
      <c r="AC18" s="47">
        <f>MIN(($C$4+$C$6-$AI$1*AB18),($C$3+$C$5)*$AI$2-$AI$2*AB18)</f>
        <v>415.59999999999997</v>
      </c>
      <c r="AD18" s="47">
        <f t="shared" si="0"/>
        <v>106.66666666666663</v>
      </c>
      <c r="AE18" s="47">
        <f>$C$6-($C$6/$C$5)*AB18</f>
        <v>15.59999999999998</v>
      </c>
      <c r="AF18" s="45"/>
      <c r="AG18" s="45"/>
      <c r="AH18" s="45"/>
      <c r="AI18" s="45"/>
      <c r="AJ18" s="45"/>
      <c r="AK18" s="45"/>
      <c r="AL18" s="45"/>
      <c r="AM18" s="45"/>
      <c r="AN18" s="45"/>
      <c r="AO18" s="45"/>
    </row>
    <row r="19" spans="1:41"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7">
        <f t="shared" si="1"/>
        <v>0.4250000000000001</v>
      </c>
      <c r="AB19" s="47">
        <f>AA19*($C$3+$C$5)</f>
        <v>46.750000000000014</v>
      </c>
      <c r="AC19" s="47">
        <f>MIN(($C$4+$C$6-$AI$1*AB19),($C$3+$C$5)*$AI$2-$AI$2*AB19)</f>
        <v>408.44999999999993</v>
      </c>
      <c r="AD19" s="47">
        <f t="shared" si="0"/>
        <v>88.3333333333332</v>
      </c>
      <c r="AE19" s="47">
        <f>$C$6-($C$6/$C$5)*AB19</f>
        <v>8.44999999999996</v>
      </c>
      <c r="AF19" s="45"/>
      <c r="AG19" s="45"/>
      <c r="AH19" s="45"/>
      <c r="AI19" s="45"/>
      <c r="AJ19" s="45"/>
      <c r="AK19" s="45"/>
      <c r="AL19" s="45"/>
      <c r="AM19" s="45"/>
      <c r="AN19" s="45"/>
      <c r="AO19" s="45"/>
    </row>
    <row r="20" spans="1:41"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7">
        <f t="shared" si="1"/>
        <v>0.4500000000000001</v>
      </c>
      <c r="AB20" s="47">
        <f>AA20*($C$3+$C$5)</f>
        <v>49.500000000000014</v>
      </c>
      <c r="AC20" s="47">
        <f>MIN(($C$4+$C$6-$AI$1*AB20),($C$3+$C$5)*$AI$2-$AI$2*AB20)</f>
        <v>401.29999999999995</v>
      </c>
      <c r="AD20" s="47">
        <f t="shared" si="0"/>
        <v>69.99999999999989</v>
      </c>
      <c r="AE20" s="47">
        <f>$C$6-($C$6/$C$5)*AB20</f>
        <v>1.2999999999999545</v>
      </c>
      <c r="AF20" s="45"/>
      <c r="AG20" s="45"/>
      <c r="AH20" s="45"/>
      <c r="AI20" s="45"/>
      <c r="AJ20" s="45"/>
      <c r="AK20" s="45"/>
      <c r="AL20" s="45"/>
      <c r="AM20" s="45"/>
      <c r="AN20" s="45"/>
      <c r="AO20" s="45"/>
    </row>
    <row r="21" spans="1:4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7">
        <f t="shared" si="1"/>
        <v>0.47500000000000014</v>
      </c>
      <c r="AB21" s="47">
        <f>AA21*($C$3+$C$5)</f>
        <v>52.250000000000014</v>
      </c>
      <c r="AC21" s="47">
        <f>MIN(($C$4+$C$6-$AI$1*AB21),($C$3+$C$5)*$AI$2-$AI$2*AB21)</f>
        <v>384.99999999999994</v>
      </c>
      <c r="AD21" s="47">
        <f t="shared" si="0"/>
        <v>51.66666666666657</v>
      </c>
      <c r="AE21" s="47">
        <f>$C$6-($C$6/$C$5)*AB21</f>
        <v>-5.850000000000051</v>
      </c>
      <c r="AF21" s="45"/>
      <c r="AG21" s="45"/>
      <c r="AH21" s="45"/>
      <c r="AI21" s="45"/>
      <c r="AJ21" s="45"/>
      <c r="AK21" s="45"/>
      <c r="AL21" s="45"/>
      <c r="AM21" s="45"/>
      <c r="AN21" s="45"/>
      <c r="AO21" s="45"/>
    </row>
    <row r="22" spans="1:41"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7">
        <f t="shared" si="1"/>
        <v>0.5000000000000001</v>
      </c>
      <c r="AB22" s="47">
        <f>AA22*($C$3+$C$5)</f>
        <v>55.000000000000014</v>
      </c>
      <c r="AC22" s="47">
        <f>MIN(($C$4+$C$6-$AI$1*AB22),($C$3+$C$5)*$AI$2-$AI$2*AB22)</f>
        <v>366.6666666666666</v>
      </c>
      <c r="AD22" s="47">
        <f t="shared" si="0"/>
        <v>33.3333333333332</v>
      </c>
      <c r="AE22" s="47">
        <f>$C$6-($C$6/$C$5)*AB22</f>
        <v>-13.000000000000028</v>
      </c>
      <c r="AF22" s="45"/>
      <c r="AG22" s="45"/>
      <c r="AH22" s="45"/>
      <c r="AI22" s="45"/>
      <c r="AJ22" s="45"/>
      <c r="AK22" s="45"/>
      <c r="AL22" s="45"/>
      <c r="AM22" s="45"/>
      <c r="AN22" s="45"/>
      <c r="AO22" s="45"/>
    </row>
    <row r="23" spans="1:41"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7">
        <f t="shared" si="1"/>
        <v>0.5250000000000001</v>
      </c>
      <c r="AB23" s="47">
        <f>AA23*($C$3+$C$5)</f>
        <v>57.750000000000014</v>
      </c>
      <c r="AC23" s="47">
        <f>MIN(($C$4+$C$6-$AI$1*AB23),($C$3+$C$5)*$AI$2-$AI$2*AB23)</f>
        <v>348.33333333333326</v>
      </c>
      <c r="AD23" s="47">
        <f t="shared" si="0"/>
        <v>14.999999999999886</v>
      </c>
      <c r="AE23" s="47">
        <f>$C$6-($C$6/$C$5)*AB23</f>
        <v>-20.150000000000034</v>
      </c>
      <c r="AF23" s="45"/>
      <c r="AG23" s="45"/>
      <c r="AH23" s="45"/>
      <c r="AI23" s="45"/>
      <c r="AJ23" s="45"/>
      <c r="AK23" s="45"/>
      <c r="AL23" s="45"/>
      <c r="AM23" s="45"/>
      <c r="AN23" s="45"/>
      <c r="AO23" s="45"/>
    </row>
    <row r="24" spans="1:41"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7">
        <f t="shared" si="1"/>
        <v>0.5500000000000002</v>
      </c>
      <c r="AB24" s="47">
        <f>AA24*($C$3+$C$5)</f>
        <v>60.500000000000014</v>
      </c>
      <c r="AC24" s="47">
        <f>MIN(($C$4+$C$6-$AI$1*AB24),($C$3+$C$5)*$AI$2-$AI$2*AB24)</f>
        <v>329.99999999999994</v>
      </c>
      <c r="AD24" s="47">
        <f t="shared" si="0"/>
        <v>-3.333333333333428</v>
      </c>
      <c r="AE24" s="47">
        <f>$C$6-($C$6/$C$5)*AB24</f>
        <v>-27.30000000000004</v>
      </c>
      <c r="AF24" s="45"/>
      <c r="AG24" s="45"/>
      <c r="AH24" s="45"/>
      <c r="AI24" s="45"/>
      <c r="AJ24" s="45"/>
      <c r="AK24" s="45"/>
      <c r="AL24" s="45"/>
      <c r="AM24" s="45"/>
      <c r="AN24" s="45"/>
      <c r="AO24" s="45"/>
    </row>
    <row r="25" spans="1:41"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7">
        <f t="shared" si="1"/>
        <v>0.5750000000000002</v>
      </c>
      <c r="AB25" s="47">
        <f>AA25*($C$3+$C$5)</f>
        <v>63.25000000000002</v>
      </c>
      <c r="AC25" s="47">
        <f>MIN(($C$4+$C$6-$AI$1*AB25),($C$3+$C$5)*$AI$2-$AI$2*AB25)</f>
        <v>311.6666666666666</v>
      </c>
      <c r="AD25" s="47">
        <f t="shared" si="0"/>
        <v>-21.6666666666668</v>
      </c>
      <c r="AE25" s="47">
        <f>$C$6-($C$6/$C$5)*AB25</f>
        <v>-34.450000000000074</v>
      </c>
      <c r="AF25" s="45"/>
      <c r="AG25" s="45"/>
      <c r="AH25" s="45"/>
      <c r="AI25" s="45"/>
      <c r="AJ25" s="45"/>
      <c r="AK25" s="45"/>
      <c r="AL25" s="45"/>
      <c r="AM25" s="45"/>
      <c r="AN25" s="45"/>
      <c r="AO25" s="45"/>
    </row>
    <row r="26" spans="1:41"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7">
        <f t="shared" si="1"/>
        <v>0.6000000000000002</v>
      </c>
      <c r="AB26" s="47">
        <f>AA26*($C$3+$C$5)</f>
        <v>66.00000000000003</v>
      </c>
      <c r="AC26" s="47">
        <f>MIN(($C$4+$C$6-$AI$1*AB26),($C$3+$C$5)*$AI$2-$AI$2*AB26)</f>
        <v>293.33333333333314</v>
      </c>
      <c r="AD26" s="47">
        <f t="shared" si="0"/>
        <v>-40.00000000000023</v>
      </c>
      <c r="AE26" s="47">
        <f>$C$6-($C$6/$C$5)*AB26</f>
        <v>-41.60000000000008</v>
      </c>
      <c r="AF26" s="45"/>
      <c r="AG26" s="45"/>
      <c r="AH26" s="45"/>
      <c r="AI26" s="45"/>
      <c r="AJ26" s="45"/>
      <c r="AK26" s="45"/>
      <c r="AL26" s="45"/>
      <c r="AM26" s="45"/>
      <c r="AN26" s="45"/>
      <c r="AO26" s="45"/>
    </row>
    <row r="27" spans="1:41"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7">
        <f t="shared" si="1"/>
        <v>0.6250000000000002</v>
      </c>
      <c r="AB27" s="47">
        <f>AA27*($C$3+$C$5)</f>
        <v>68.75000000000003</v>
      </c>
      <c r="AC27" s="47">
        <f>MIN(($C$4+$C$6-$AI$1*AB27),($C$3+$C$5)*$AI$2-$AI$2*AB27)</f>
        <v>274.99999999999983</v>
      </c>
      <c r="AD27" s="47">
        <f t="shared" si="0"/>
        <v>-58.33333333333354</v>
      </c>
      <c r="AE27" s="47">
        <f>$C$6-($C$6/$C$5)*AB27</f>
        <v>-48.750000000000085</v>
      </c>
      <c r="AF27" s="45"/>
      <c r="AG27" s="45"/>
      <c r="AH27" s="45"/>
      <c r="AI27" s="45"/>
      <c r="AJ27" s="45"/>
      <c r="AK27" s="45"/>
      <c r="AL27" s="45"/>
      <c r="AM27" s="45"/>
      <c r="AN27" s="45"/>
      <c r="AO27" s="45"/>
    </row>
    <row r="28" spans="1:41"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7">
        <f t="shared" si="1"/>
        <v>0.6500000000000002</v>
      </c>
      <c r="AB28" s="47">
        <f>AA28*($C$3+$C$5)</f>
        <v>71.50000000000003</v>
      </c>
      <c r="AC28" s="47">
        <f>MIN(($C$4+$C$6-$AI$1*AB28),($C$3+$C$5)*$AI$2-$AI$2*AB28)</f>
        <v>256.6666666666665</v>
      </c>
      <c r="AD28" s="47">
        <f t="shared" si="0"/>
        <v>-76.66666666666686</v>
      </c>
      <c r="AE28" s="47">
        <f>$C$6-($C$6/$C$5)*AB28</f>
        <v>-55.90000000000009</v>
      </c>
      <c r="AF28" s="45"/>
      <c r="AG28" s="45"/>
      <c r="AH28" s="45"/>
      <c r="AI28" s="45"/>
      <c r="AJ28" s="45"/>
      <c r="AK28" s="45"/>
      <c r="AL28" s="45"/>
      <c r="AM28" s="45"/>
      <c r="AN28" s="45"/>
      <c r="AO28" s="45"/>
    </row>
    <row r="29" spans="1:41"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7">
        <f t="shared" si="1"/>
        <v>0.6750000000000003</v>
      </c>
      <c r="AB29" s="47">
        <f>AA29*($C$3+$C$5)</f>
        <v>74.25000000000003</v>
      </c>
      <c r="AC29" s="47">
        <f>MIN(($C$4+$C$6-$AI$1*AB29),($C$3+$C$5)*$AI$2-$AI$2*AB29)</f>
        <v>238.33333333333314</v>
      </c>
      <c r="AD29" s="47">
        <f t="shared" si="0"/>
        <v>-95.00000000000023</v>
      </c>
      <c r="AE29" s="47">
        <f>$C$6-($C$6/$C$5)*AB29</f>
        <v>-63.05000000000007</v>
      </c>
      <c r="AF29" s="45"/>
      <c r="AG29" s="45"/>
      <c r="AH29" s="45"/>
      <c r="AI29" s="45"/>
      <c r="AJ29" s="45"/>
      <c r="AK29" s="45"/>
      <c r="AL29" s="45"/>
      <c r="AM29" s="45"/>
      <c r="AN29" s="45"/>
      <c r="AO29" s="45"/>
    </row>
    <row r="30" spans="1:41"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7">
        <f t="shared" si="1"/>
        <v>0.7000000000000003</v>
      </c>
      <c r="AB30" s="47">
        <f>AA30*($C$3+$C$5)</f>
        <v>77.00000000000003</v>
      </c>
      <c r="AC30" s="47">
        <f>MIN(($C$4+$C$6-$AI$1*AB30),($C$3+$C$5)*$AI$2-$AI$2*AB30)</f>
        <v>219.99999999999977</v>
      </c>
      <c r="AD30" s="47">
        <f t="shared" si="0"/>
        <v>-113.3333333333336</v>
      </c>
      <c r="AE30" s="47">
        <f>$C$6-($C$6/$C$5)*AB30</f>
        <v>-70.20000000000007</v>
      </c>
      <c r="AF30" s="45"/>
      <c r="AG30" s="45"/>
      <c r="AH30" s="45"/>
      <c r="AI30" s="45"/>
      <c r="AJ30" s="45"/>
      <c r="AK30" s="45"/>
      <c r="AL30" s="45"/>
      <c r="AM30" s="45"/>
      <c r="AN30" s="45"/>
      <c r="AO30" s="45"/>
    </row>
    <row r="31" spans="1:4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7">
        <f t="shared" si="1"/>
        <v>0.7250000000000003</v>
      </c>
      <c r="AB31" s="47">
        <f>AA31*($C$3+$C$5)</f>
        <v>79.75000000000003</v>
      </c>
      <c r="AC31" s="47">
        <f>MIN(($C$4+$C$6-$AI$1*AB31),($C$3+$C$5)*$AI$2-$AI$2*AB31)</f>
        <v>201.66666666666652</v>
      </c>
      <c r="AD31" s="47">
        <f t="shared" si="0"/>
        <v>-131.66666666666686</v>
      </c>
      <c r="AE31" s="47">
        <f>$C$6-($C$6/$C$5)*AB31</f>
        <v>-77.35000000000008</v>
      </c>
      <c r="AF31" s="45"/>
      <c r="AG31" s="45"/>
      <c r="AH31" s="45"/>
      <c r="AI31" s="45"/>
      <c r="AJ31" s="45"/>
      <c r="AK31" s="45"/>
      <c r="AL31" s="45"/>
      <c r="AM31" s="45"/>
      <c r="AN31" s="45"/>
      <c r="AO31" s="45"/>
    </row>
    <row r="32" spans="1:41"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7">
        <f t="shared" si="1"/>
        <v>0.7500000000000003</v>
      </c>
      <c r="AB32" s="47">
        <f>AA32*($C$3+$C$5)</f>
        <v>82.50000000000004</v>
      </c>
      <c r="AC32" s="47">
        <f>MIN(($C$4+$C$6-$AI$1*AB32),($C$3+$C$5)*$AI$2-$AI$2*AB32)</f>
        <v>183.33333333333303</v>
      </c>
      <c r="AD32" s="47">
        <f t="shared" si="0"/>
        <v>-150.00000000000034</v>
      </c>
      <c r="AE32" s="47">
        <f>$C$6-($C$6/$C$5)*AB32</f>
        <v>-84.50000000000011</v>
      </c>
      <c r="AF32" s="45"/>
      <c r="AG32" s="45"/>
      <c r="AH32" s="45"/>
      <c r="AI32" s="45"/>
      <c r="AJ32" s="45"/>
      <c r="AK32" s="45"/>
      <c r="AL32" s="45"/>
      <c r="AM32" s="45"/>
      <c r="AN32" s="45"/>
      <c r="AO32" s="45"/>
    </row>
    <row r="33" spans="1:41"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7">
        <f t="shared" si="1"/>
        <v>0.7750000000000004</v>
      </c>
      <c r="AB33" s="47">
        <f>AA33*($C$3+$C$5)</f>
        <v>85.25000000000004</v>
      </c>
      <c r="AC33" s="47">
        <f>MIN(($C$4+$C$6-$AI$1*AB33),($C$3+$C$5)*$AI$2-$AI$2*AB33)</f>
        <v>164.99999999999977</v>
      </c>
      <c r="AD33" s="47">
        <f t="shared" si="0"/>
        <v>-168.3333333333336</v>
      </c>
      <c r="AE33" s="47">
        <f>$C$6-($C$6/$C$5)*AB33</f>
        <v>-91.65000000000012</v>
      </c>
      <c r="AF33" s="45"/>
      <c r="AG33" s="45"/>
      <c r="AH33" s="45"/>
      <c r="AI33" s="45"/>
      <c r="AJ33" s="45"/>
      <c r="AK33" s="45"/>
      <c r="AL33" s="45"/>
      <c r="AM33" s="45"/>
      <c r="AN33" s="45"/>
      <c r="AO33" s="45"/>
    </row>
    <row r="34" spans="1:41"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7">
        <f t="shared" si="1"/>
        <v>0.8000000000000004</v>
      </c>
      <c r="AB34" s="47">
        <f>AA34*($C$3+$C$5)</f>
        <v>88.00000000000004</v>
      </c>
      <c r="AC34" s="47">
        <f>MIN(($C$4+$C$6-$AI$1*AB34),($C$3+$C$5)*$AI$2-$AI$2*AB34)</f>
        <v>146.6666666666664</v>
      </c>
      <c r="AD34" s="47">
        <f t="shared" si="0"/>
        <v>-186.66666666666697</v>
      </c>
      <c r="AE34" s="47">
        <f>$C$6-($C$6/$C$5)*AB34</f>
        <v>-98.80000000000013</v>
      </c>
      <c r="AF34" s="45"/>
      <c r="AG34" s="45"/>
      <c r="AH34" s="45"/>
      <c r="AI34" s="45"/>
      <c r="AJ34" s="45"/>
      <c r="AK34" s="45"/>
      <c r="AL34" s="45"/>
      <c r="AM34" s="45"/>
      <c r="AN34" s="45"/>
      <c r="AO34" s="45"/>
    </row>
    <row r="35" spans="1:41"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7">
        <f t="shared" si="1"/>
        <v>0.8250000000000004</v>
      </c>
      <c r="AB35" s="47">
        <f>AA35*($C$3+$C$5)</f>
        <v>90.75000000000004</v>
      </c>
      <c r="AC35" s="47">
        <f>MIN(($C$4+$C$6-$AI$1*AB35),($C$3+$C$5)*$AI$2-$AI$2*AB35)</f>
        <v>128.33333333333303</v>
      </c>
      <c r="AD35" s="47">
        <f t="shared" si="0"/>
        <v>-205.00000000000034</v>
      </c>
      <c r="AE35" s="47">
        <f>$C$6-($C$6/$C$5)*AB35</f>
        <v>-105.95000000000013</v>
      </c>
      <c r="AF35" s="45"/>
      <c r="AG35" s="45"/>
      <c r="AH35" s="45"/>
      <c r="AI35" s="45"/>
      <c r="AJ35" s="45"/>
      <c r="AK35" s="45"/>
      <c r="AL35" s="45"/>
      <c r="AM35" s="45"/>
      <c r="AN35" s="45"/>
      <c r="AO35" s="45"/>
    </row>
    <row r="36" spans="1:41"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7">
        <f t="shared" si="1"/>
        <v>0.8500000000000004</v>
      </c>
      <c r="AB36" s="47">
        <f>AA36*($C$3+$C$5)</f>
        <v>93.50000000000004</v>
      </c>
      <c r="AC36" s="47">
        <f>MIN(($C$4+$C$6-$AI$1*AB36),($C$3+$C$5)*$AI$2-$AI$2*AB36)</f>
        <v>109.99999999999977</v>
      </c>
      <c r="AD36" s="47">
        <f t="shared" si="0"/>
        <v>-223.3333333333336</v>
      </c>
      <c r="AE36" s="47">
        <f>$C$6-($C$6/$C$5)*AB36</f>
        <v>-113.10000000000011</v>
      </c>
      <c r="AF36" s="45"/>
      <c r="AG36" s="45"/>
      <c r="AH36" s="45"/>
      <c r="AI36" s="45"/>
      <c r="AJ36" s="45"/>
      <c r="AK36" s="45"/>
      <c r="AL36" s="45"/>
      <c r="AM36" s="45"/>
      <c r="AN36" s="45"/>
      <c r="AO36" s="45"/>
    </row>
    <row r="37" spans="1:41"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7">
        <f t="shared" si="1"/>
        <v>0.8750000000000004</v>
      </c>
      <c r="AB37" s="47">
        <f>AA37*($C$3+$C$5)</f>
        <v>96.25000000000004</v>
      </c>
      <c r="AC37" s="47">
        <f>MIN(($C$4+$C$6-$AI$1*AB37),($C$3+$C$5)*$AI$2-$AI$2*AB37)</f>
        <v>91.6666666666664</v>
      </c>
      <c r="AD37" s="47">
        <f t="shared" si="0"/>
        <v>-241.66666666666697</v>
      </c>
      <c r="AE37" s="47">
        <f>$C$6-($C$6/$C$5)*AB37</f>
        <v>-120.25000000000011</v>
      </c>
      <c r="AF37" s="45"/>
      <c r="AG37" s="45"/>
      <c r="AH37" s="45"/>
      <c r="AI37" s="45"/>
      <c r="AJ37" s="45"/>
      <c r="AK37" s="45"/>
      <c r="AL37" s="45"/>
      <c r="AM37" s="45"/>
      <c r="AN37" s="45"/>
      <c r="AO37" s="45"/>
    </row>
    <row r="38" spans="1:41"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7">
        <f t="shared" si="1"/>
        <v>0.9000000000000005</v>
      </c>
      <c r="AB38" s="47">
        <f>AA38*($C$3+$C$5)</f>
        <v>99.00000000000006</v>
      </c>
      <c r="AC38" s="47">
        <f>MIN(($C$4+$C$6-$AI$1*AB38),($C$3+$C$5)*$AI$2-$AI$2*AB38)</f>
        <v>73.33333333333292</v>
      </c>
      <c r="AD38" s="47">
        <f t="shared" si="0"/>
        <v>-260.00000000000045</v>
      </c>
      <c r="AE38" s="47">
        <f>$C$6-($C$6/$C$5)*AB38</f>
        <v>-127.40000000000015</v>
      </c>
      <c r="AF38" s="45"/>
      <c r="AG38" s="45"/>
      <c r="AH38" s="45"/>
      <c r="AI38" s="45"/>
      <c r="AJ38" s="45"/>
      <c r="AK38" s="45"/>
      <c r="AL38" s="45"/>
      <c r="AM38" s="45"/>
      <c r="AN38" s="45"/>
      <c r="AO38" s="45"/>
    </row>
    <row r="39" spans="1:41"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7">
        <f t="shared" si="1"/>
        <v>0.9250000000000005</v>
      </c>
      <c r="AB39" s="47">
        <f>AA39*($C$3+$C$5)</f>
        <v>101.75000000000006</v>
      </c>
      <c r="AC39" s="47">
        <f>MIN(($C$4+$C$6-$AI$1*AB39),($C$3+$C$5)*$AI$2-$AI$2*AB39)</f>
        <v>54.99999999999966</v>
      </c>
      <c r="AD39" s="47">
        <f t="shared" si="0"/>
        <v>-278.3333333333337</v>
      </c>
      <c r="AE39" s="47">
        <f>$C$6-($C$6/$C$5)*AB39</f>
        <v>-134.55000000000018</v>
      </c>
      <c r="AF39" s="45"/>
      <c r="AG39" s="45"/>
      <c r="AH39" s="45"/>
      <c r="AI39" s="45"/>
      <c r="AJ39" s="45"/>
      <c r="AK39" s="45"/>
      <c r="AL39" s="45"/>
      <c r="AM39" s="45"/>
      <c r="AN39" s="45"/>
      <c r="AO39" s="45"/>
    </row>
    <row r="40" spans="1:41"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7">
        <f t="shared" si="1"/>
        <v>0.9500000000000005</v>
      </c>
      <c r="AB40" s="47">
        <f>AA40*($C$3+$C$5)</f>
        <v>104.50000000000006</v>
      </c>
      <c r="AC40" s="47">
        <f>MIN(($C$4+$C$6-$AI$1*AB40),($C$3+$C$5)*$AI$2-$AI$2*AB40)</f>
        <v>36.66666666666629</v>
      </c>
      <c r="AD40" s="47">
        <f t="shared" si="0"/>
        <v>-296.6666666666671</v>
      </c>
      <c r="AE40" s="47">
        <f>$C$6-($C$6/$C$5)*AB40</f>
        <v>-141.70000000000016</v>
      </c>
      <c r="AF40" s="45"/>
      <c r="AG40" s="45"/>
      <c r="AH40" s="45"/>
      <c r="AI40" s="45"/>
      <c r="AJ40" s="45"/>
      <c r="AK40" s="45"/>
      <c r="AL40" s="45"/>
      <c r="AM40" s="45"/>
      <c r="AN40" s="45"/>
      <c r="AO40" s="45"/>
    </row>
    <row r="41" spans="1: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7">
        <f t="shared" si="1"/>
        <v>0.9750000000000005</v>
      </c>
      <c r="AB41" s="47">
        <f>AA41*($C$3+$C$5)</f>
        <v>107.25000000000006</v>
      </c>
      <c r="AC41" s="47">
        <f>MIN(($C$4+$C$6-$AI$1*AB41),($C$3+$C$5)*$AI$2-$AI$2*AB41)</f>
        <v>18.333333333332916</v>
      </c>
      <c r="AD41" s="47">
        <f t="shared" si="0"/>
        <v>-315.00000000000045</v>
      </c>
      <c r="AE41" s="47">
        <f>$C$6-($C$6/$C$5)*AB41</f>
        <v>-148.85000000000014</v>
      </c>
      <c r="AF41" s="45"/>
      <c r="AG41" s="45"/>
      <c r="AH41" s="45"/>
      <c r="AI41" s="45"/>
      <c r="AJ41" s="45"/>
      <c r="AK41" s="45"/>
      <c r="AL41" s="45"/>
      <c r="AM41" s="45"/>
      <c r="AN41" s="45"/>
      <c r="AO41" s="45"/>
    </row>
    <row r="42" spans="1:41"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7">
        <f t="shared" si="1"/>
        <v>1.0000000000000004</v>
      </c>
      <c r="AB42" s="47">
        <f>AA42*($C$3+$C$5)</f>
        <v>110.00000000000004</v>
      </c>
      <c r="AC42" s="47">
        <f>MIN(($C$4+$C$6-$AI$1*AB42),($C$3+$C$5)*$AI$2-$AI$2*AB42)</f>
        <v>-2.2737367544323206E-13</v>
      </c>
      <c r="AD42" s="47">
        <f t="shared" si="0"/>
        <v>-333.3333333333336</v>
      </c>
      <c r="AE42" s="47">
        <f>$C$6-($C$6/$C$5)*AB42</f>
        <v>-156.0000000000001</v>
      </c>
      <c r="AF42" s="45"/>
      <c r="AG42" s="45"/>
      <c r="AH42" s="45"/>
      <c r="AI42" s="45"/>
      <c r="AJ42" s="45"/>
      <c r="AK42" s="45"/>
      <c r="AL42" s="45"/>
      <c r="AM42" s="45"/>
      <c r="AN42" s="45"/>
      <c r="AO42" s="45"/>
    </row>
    <row r="43" spans="1:41"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row>
    <row r="44" spans="1:41"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row>
    <row r="45" spans="1:41"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row>
    <row r="46" spans="1:41"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row>
    <row r="47" spans="1:41"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row>
    <row r="48" spans="1:41"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row>
    <row r="49" spans="1:41"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row>
    <row r="50" spans="1:41"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row>
    <row r="51" spans="1:4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row>
    <row r="52" spans="1:41"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row>
    <row r="53" spans="1:41"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row>
    <row r="54" spans="1:41"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row>
    <row r="55" spans="1:41"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row>
    <row r="56" spans="1:41"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row>
    <row r="57" spans="1:41"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row>
    <row r="58" spans="1:41"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row>
    <row r="59" spans="1:41"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row>
    <row r="60" spans="1:41"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row>
    <row r="61" spans="1:4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row>
    <row r="62" spans="1:41"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row>
    <row r="63" spans="1:41"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row>
    <row r="64" spans="1:41"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row>
    <row r="65" spans="1:41"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row>
    <row r="67" spans="1:41"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row>
    <row r="68" spans="1:41"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row>
    <row r="69" spans="1:41"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row>
    <row r="70" spans="1:41"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row>
    <row r="71" spans="1:4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row>
    <row r="72" spans="1:41"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row>
    <row r="73" spans="1:41"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row>
    <row r="74" spans="1:41"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row>
    <row r="75" spans="4:41" ht="13.5" customHeight="1">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row>
  </sheetData>
  <mergeCells count="5">
    <mergeCell ref="A6:B6"/>
    <mergeCell ref="A2:C2"/>
    <mergeCell ref="A3:B3"/>
    <mergeCell ref="A4:B4"/>
    <mergeCell ref="A5:B5"/>
  </mergeCells>
  <printOptions/>
  <pageMargins left="0.75" right="0.75" top="1" bottom="1" header="0.5" footer="0.5"/>
  <pageSetup horizontalDpi="180" verticalDpi="180" orientation="portrait"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0"/>
  <dimension ref="A1:AR128"/>
  <sheetViews>
    <sheetView workbookViewId="0" topLeftCell="A1">
      <selection activeCell="A1" sqref="A1:D1"/>
    </sheetView>
  </sheetViews>
  <sheetFormatPr defaultColWidth="9.140625" defaultRowHeight="12.75"/>
  <sheetData>
    <row r="1" spans="1:44" s="8" customFormat="1" ht="13.5" customHeight="1" thickBot="1" thickTop="1">
      <c r="A1" s="229" t="s">
        <v>97</v>
      </c>
      <c r="B1" s="230"/>
      <c r="C1" s="230"/>
      <c r="D1" s="231"/>
      <c r="E1" s="49"/>
      <c r="F1" s="49"/>
      <c r="G1" s="49"/>
      <c r="H1" s="5"/>
      <c r="I1" s="5"/>
      <c r="J1" s="5"/>
      <c r="K1" s="5"/>
      <c r="L1" s="5"/>
      <c r="M1" s="86"/>
      <c r="N1" s="86"/>
      <c r="O1" s="86"/>
      <c r="P1" s="87"/>
      <c r="Q1" s="87"/>
      <c r="R1" s="87"/>
      <c r="S1" s="87"/>
      <c r="T1" s="87"/>
      <c r="U1" s="87"/>
      <c r="V1" s="87"/>
      <c r="W1" s="87"/>
      <c r="X1" s="87"/>
      <c r="Y1" s="87"/>
      <c r="Z1" s="87"/>
      <c r="AA1" s="88" t="s">
        <v>0</v>
      </c>
      <c r="AB1" s="88" t="s">
        <v>98</v>
      </c>
      <c r="AC1" s="88" t="s">
        <v>99</v>
      </c>
      <c r="AD1" s="88" t="s">
        <v>100</v>
      </c>
      <c r="AE1" s="88" t="s">
        <v>101</v>
      </c>
      <c r="AF1" s="87"/>
      <c r="AG1" s="87"/>
      <c r="AH1" s="87"/>
      <c r="AI1" s="87"/>
      <c r="AJ1" s="87"/>
      <c r="AK1" s="49" t="s">
        <v>198</v>
      </c>
      <c r="AL1" s="49"/>
      <c r="AM1" s="49"/>
      <c r="AN1" s="49"/>
      <c r="AO1" s="49"/>
      <c r="AP1" s="87"/>
      <c r="AQ1" s="87"/>
      <c r="AR1" s="87"/>
    </row>
    <row r="2" spans="1:44" ht="13.5" customHeight="1" thickBot="1" thickTop="1">
      <c r="A2" s="5"/>
      <c r="B2" s="5"/>
      <c r="C2" s="5"/>
      <c r="D2" s="49"/>
      <c r="E2" s="49"/>
      <c r="F2" s="49"/>
      <c r="G2" s="49"/>
      <c r="H2" s="5"/>
      <c r="I2" s="5"/>
      <c r="J2" s="5"/>
      <c r="K2" s="5"/>
      <c r="L2" s="5"/>
      <c r="M2" s="5"/>
      <c r="N2" s="5"/>
      <c r="O2" s="5"/>
      <c r="P2" s="5"/>
      <c r="Q2" s="5"/>
      <c r="R2" s="5"/>
      <c r="S2" s="87"/>
      <c r="T2" s="87"/>
      <c r="U2" s="87"/>
      <c r="V2" s="87"/>
      <c r="W2" s="87"/>
      <c r="X2" s="87"/>
      <c r="Y2" s="87"/>
      <c r="Z2" s="87"/>
      <c r="AA2" s="89">
        <v>0</v>
      </c>
      <c r="AB2" s="89">
        <f aca="true" t="shared" si="0" ref="AB2:AB28">$C$5-$C$11*AA2</f>
        <v>150</v>
      </c>
      <c r="AC2" s="89">
        <f aca="true" t="shared" si="1" ref="AC2:AC28">MAX($C$4*$AN$5-$AN$5*AA2,$C$5-$AN$5*AA2)</f>
        <v>150</v>
      </c>
      <c r="AD2" s="89">
        <f aca="true" t="shared" si="2" ref="AD2:AD28">$C$8-$C$12*AA2</f>
        <v>130</v>
      </c>
      <c r="AE2" s="89">
        <f aca="true" t="shared" si="3" ref="AE2:AE28">MAX($C$7*$AN$5-$AN$5*AA2,$C$8-$AN$5*AA2)</f>
        <v>130</v>
      </c>
      <c r="AF2" s="5"/>
      <c r="AG2" s="5"/>
      <c r="AH2" s="5"/>
      <c r="AI2" s="5"/>
      <c r="AJ2" s="5"/>
      <c r="AK2" s="49"/>
      <c r="AL2" s="49"/>
      <c r="AM2" s="49" t="s">
        <v>71</v>
      </c>
      <c r="AN2" s="49" t="s">
        <v>58</v>
      </c>
      <c r="AO2" s="49"/>
      <c r="AP2" s="5"/>
      <c r="AQ2" s="5"/>
      <c r="AR2" s="5"/>
    </row>
    <row r="3" spans="1:44" s="8" customFormat="1" ht="13.5" customHeight="1" thickTop="1">
      <c r="A3" s="221" t="s">
        <v>190</v>
      </c>
      <c r="B3" s="222"/>
      <c r="C3" s="222"/>
      <c r="D3" s="222" t="s">
        <v>204</v>
      </c>
      <c r="E3" s="234"/>
      <c r="F3" s="49"/>
      <c r="G3" s="49"/>
      <c r="H3" s="87"/>
      <c r="I3" s="87"/>
      <c r="J3" s="6"/>
      <c r="K3" s="6"/>
      <c r="L3" s="6"/>
      <c r="M3" s="87"/>
      <c r="N3" s="87"/>
      <c r="O3" s="87"/>
      <c r="P3" s="6"/>
      <c r="Q3" s="87"/>
      <c r="R3" s="87"/>
      <c r="S3" s="6"/>
      <c r="T3" s="6"/>
      <c r="U3" s="6"/>
      <c r="V3" s="6"/>
      <c r="W3" s="6"/>
      <c r="X3" s="6"/>
      <c r="Y3" s="6"/>
      <c r="Z3" s="6"/>
      <c r="AA3" s="89">
        <f aca="true" t="shared" si="4" ref="AA3:AA19">AA2+10</f>
        <v>10</v>
      </c>
      <c r="AB3" s="89">
        <f t="shared" si="0"/>
        <v>125</v>
      </c>
      <c r="AC3" s="89">
        <f t="shared" si="1"/>
        <v>125</v>
      </c>
      <c r="AD3" s="89">
        <f t="shared" si="2"/>
        <v>104</v>
      </c>
      <c r="AE3" s="89">
        <f t="shared" si="3"/>
        <v>105</v>
      </c>
      <c r="AF3" s="87"/>
      <c r="AG3" s="87"/>
      <c r="AH3" s="87"/>
      <c r="AI3" s="87"/>
      <c r="AJ3" s="87"/>
      <c r="AK3" s="49"/>
      <c r="AL3" s="49"/>
      <c r="AM3" s="49" t="e">
        <f>#REF!+0.2</f>
        <v>#REF!</v>
      </c>
      <c r="AN3" s="49" t="e">
        <f>#REF!+0.2</f>
        <v>#REF!</v>
      </c>
      <c r="AO3" s="49"/>
      <c r="AP3" s="87"/>
      <c r="AQ3" s="87"/>
      <c r="AR3" s="87"/>
    </row>
    <row r="4" spans="1:44" s="8" customFormat="1" ht="13.5" customHeight="1">
      <c r="A4" s="225" t="s">
        <v>72</v>
      </c>
      <c r="B4" s="226"/>
      <c r="C4" s="95">
        <f>Gains_Linear!C9</f>
        <v>60</v>
      </c>
      <c r="D4" s="95" t="s">
        <v>102</v>
      </c>
      <c r="E4" s="97">
        <f>'Sharing Gains'!D14</f>
        <v>10</v>
      </c>
      <c r="F4" s="49"/>
      <c r="G4" s="49"/>
      <c r="H4" s="87"/>
      <c r="I4" s="6"/>
      <c r="J4" s="6"/>
      <c r="K4" s="6"/>
      <c r="L4" s="6"/>
      <c r="M4" s="87"/>
      <c r="N4" s="87"/>
      <c r="O4" s="87"/>
      <c r="P4" s="6"/>
      <c r="Q4" s="87"/>
      <c r="R4" s="87"/>
      <c r="S4" s="6"/>
      <c r="T4" s="6"/>
      <c r="U4" s="6"/>
      <c r="V4" s="6"/>
      <c r="W4" s="6"/>
      <c r="X4" s="6"/>
      <c r="Y4" s="6"/>
      <c r="Z4" s="6"/>
      <c r="AA4" s="89">
        <f t="shared" si="4"/>
        <v>20</v>
      </c>
      <c r="AB4" s="89">
        <f t="shared" si="0"/>
        <v>100</v>
      </c>
      <c r="AC4" s="89">
        <f t="shared" si="1"/>
        <v>100</v>
      </c>
      <c r="AD4" s="89">
        <f t="shared" si="2"/>
        <v>78</v>
      </c>
      <c r="AE4" s="89">
        <f t="shared" si="3"/>
        <v>80</v>
      </c>
      <c r="AF4" s="87"/>
      <c r="AG4" s="87"/>
      <c r="AH4" s="87"/>
      <c r="AI4" s="87"/>
      <c r="AJ4" s="87"/>
      <c r="AK4" s="49"/>
      <c r="AL4" s="49"/>
      <c r="AM4" s="49" t="e">
        <f>AM3+0.2</f>
        <v>#REF!</v>
      </c>
      <c r="AN4" s="49" t="e">
        <f>AN3+0.2</f>
        <v>#REF!</v>
      </c>
      <c r="AO4" s="49"/>
      <c r="AP4" s="87"/>
      <c r="AQ4" s="87"/>
      <c r="AR4" s="87"/>
    </row>
    <row r="5" spans="1:44" s="8" customFormat="1" ht="13.5" customHeight="1">
      <c r="A5" s="225" t="s">
        <v>73</v>
      </c>
      <c r="B5" s="226"/>
      <c r="C5" s="95">
        <f>Gains_Linear!C10</f>
        <v>150</v>
      </c>
      <c r="D5" s="95" t="s">
        <v>103</v>
      </c>
      <c r="E5" s="97">
        <f>'Sharing Gains'!D15</f>
        <v>4</v>
      </c>
      <c r="F5" s="49"/>
      <c r="G5" s="49"/>
      <c r="H5" s="6"/>
      <c r="I5" s="6"/>
      <c r="J5" s="6"/>
      <c r="K5" s="6"/>
      <c r="L5" s="6"/>
      <c r="M5" s="6"/>
      <c r="N5" s="6"/>
      <c r="O5" s="6"/>
      <c r="P5" s="6"/>
      <c r="Q5" s="87"/>
      <c r="R5" s="87"/>
      <c r="S5" s="6"/>
      <c r="T5" s="6"/>
      <c r="U5" s="6"/>
      <c r="V5" s="6"/>
      <c r="W5" s="6"/>
      <c r="X5" s="6"/>
      <c r="Y5" s="6"/>
      <c r="Z5" s="6"/>
      <c r="AA5" s="89">
        <f t="shared" si="4"/>
        <v>30</v>
      </c>
      <c r="AB5" s="89">
        <f t="shared" si="0"/>
        <v>75</v>
      </c>
      <c r="AC5" s="89">
        <f t="shared" si="1"/>
        <v>75</v>
      </c>
      <c r="AD5" s="89">
        <f t="shared" si="2"/>
        <v>52</v>
      </c>
      <c r="AE5" s="89">
        <f t="shared" si="3"/>
        <v>55</v>
      </c>
      <c r="AF5" s="87"/>
      <c r="AG5" s="87"/>
      <c r="AH5" s="87"/>
      <c r="AI5" s="87"/>
      <c r="AJ5" s="87"/>
      <c r="AK5" s="87"/>
      <c r="AL5" s="87"/>
      <c r="AM5" s="49" t="s">
        <v>105</v>
      </c>
      <c r="AN5" s="49">
        <f>E4/E5</f>
        <v>2.5</v>
      </c>
      <c r="AO5" s="87"/>
      <c r="AP5" s="87"/>
      <c r="AQ5" s="87"/>
      <c r="AR5" s="87"/>
    </row>
    <row r="6" spans="1:44" s="8" customFormat="1" ht="13.5" customHeight="1">
      <c r="A6" s="223" t="s">
        <v>213</v>
      </c>
      <c r="B6" s="224"/>
      <c r="C6" s="224"/>
      <c r="D6" s="91"/>
      <c r="E6" s="93"/>
      <c r="F6" s="49"/>
      <c r="G6" s="49"/>
      <c r="H6" s="87"/>
      <c r="I6" s="87"/>
      <c r="J6" s="87"/>
      <c r="K6" s="87"/>
      <c r="L6" s="87"/>
      <c r="M6" s="87"/>
      <c r="N6" s="87"/>
      <c r="O6" s="87"/>
      <c r="P6" s="6"/>
      <c r="Q6" s="87"/>
      <c r="R6" s="87"/>
      <c r="S6" s="6"/>
      <c r="T6" s="6"/>
      <c r="U6" s="6"/>
      <c r="V6" s="6"/>
      <c r="W6" s="6"/>
      <c r="X6" s="6"/>
      <c r="Y6" s="6"/>
      <c r="Z6" s="6"/>
      <c r="AA6" s="89">
        <f t="shared" si="4"/>
        <v>40</v>
      </c>
      <c r="AB6" s="89">
        <f t="shared" si="0"/>
        <v>50</v>
      </c>
      <c r="AC6" s="89">
        <f t="shared" si="1"/>
        <v>50</v>
      </c>
      <c r="AD6" s="89">
        <f t="shared" si="2"/>
        <v>26</v>
      </c>
      <c r="AE6" s="89">
        <f t="shared" si="3"/>
        <v>30</v>
      </c>
      <c r="AF6" s="87"/>
      <c r="AG6" s="87"/>
      <c r="AH6" s="87"/>
      <c r="AI6" s="87"/>
      <c r="AJ6" s="87"/>
      <c r="AK6" s="87"/>
      <c r="AL6" s="87"/>
      <c r="AM6" s="6"/>
      <c r="AN6" s="6"/>
      <c r="AO6" s="87"/>
      <c r="AP6" s="87"/>
      <c r="AQ6" s="87"/>
      <c r="AR6" s="87"/>
    </row>
    <row r="7" spans="1:44" s="8" customFormat="1" ht="13.5" customHeight="1">
      <c r="A7" s="225" t="s">
        <v>39</v>
      </c>
      <c r="B7" s="226"/>
      <c r="C7" s="95">
        <f>Gains_Linear!C13</f>
        <v>50</v>
      </c>
      <c r="D7" s="91"/>
      <c r="E7" s="93"/>
      <c r="F7" s="49"/>
      <c r="G7" s="49"/>
      <c r="H7" s="87"/>
      <c r="I7" s="87"/>
      <c r="J7" s="87"/>
      <c r="K7" s="87"/>
      <c r="L7" s="87"/>
      <c r="M7" s="87"/>
      <c r="N7" s="87"/>
      <c r="O7" s="87"/>
      <c r="P7" s="6"/>
      <c r="Q7" s="87"/>
      <c r="R7" s="87"/>
      <c r="S7" s="6"/>
      <c r="T7" s="6"/>
      <c r="U7" s="6"/>
      <c r="V7" s="6"/>
      <c r="W7" s="6"/>
      <c r="X7" s="6"/>
      <c r="Y7" s="6"/>
      <c r="Z7" s="6"/>
      <c r="AA7" s="89">
        <f t="shared" si="4"/>
        <v>50</v>
      </c>
      <c r="AB7" s="89">
        <f t="shared" si="0"/>
        <v>25</v>
      </c>
      <c r="AC7" s="89">
        <f t="shared" si="1"/>
        <v>25</v>
      </c>
      <c r="AD7" s="89">
        <f t="shared" si="2"/>
        <v>0</v>
      </c>
      <c r="AE7" s="89">
        <f t="shared" si="3"/>
        <v>5</v>
      </c>
      <c r="AF7" s="87"/>
      <c r="AG7" s="87"/>
      <c r="AH7" s="87"/>
      <c r="AI7" s="87"/>
      <c r="AJ7" s="87"/>
      <c r="AK7" s="87"/>
      <c r="AL7" s="87"/>
      <c r="AM7" s="6"/>
      <c r="AN7" s="6"/>
      <c r="AO7" s="87"/>
      <c r="AP7" s="87"/>
      <c r="AQ7" s="87"/>
      <c r="AR7" s="87"/>
    </row>
    <row r="8" spans="1:44" ht="13.5" customHeight="1" thickBot="1">
      <c r="A8" s="232" t="s">
        <v>41</v>
      </c>
      <c r="B8" s="233"/>
      <c r="C8" s="96">
        <f>Gains_Linear!C14</f>
        <v>130</v>
      </c>
      <c r="D8" s="92"/>
      <c r="E8" s="94"/>
      <c r="F8" s="49"/>
      <c r="G8" s="49"/>
      <c r="H8" s="6"/>
      <c r="I8" s="6"/>
      <c r="J8" s="6"/>
      <c r="K8" s="6"/>
      <c r="L8" s="6"/>
      <c r="M8" s="6"/>
      <c r="N8" s="6"/>
      <c r="O8" s="6"/>
      <c r="P8" s="6"/>
      <c r="Q8" s="5"/>
      <c r="R8" s="5"/>
      <c r="S8" s="6"/>
      <c r="T8" s="6"/>
      <c r="U8" s="6"/>
      <c r="V8" s="6"/>
      <c r="W8" s="6"/>
      <c r="X8" s="6"/>
      <c r="Y8" s="6"/>
      <c r="Z8" s="6"/>
      <c r="AA8" s="89">
        <f t="shared" si="4"/>
        <v>60</v>
      </c>
      <c r="AB8" s="89">
        <f t="shared" si="0"/>
        <v>0</v>
      </c>
      <c r="AC8" s="89">
        <f t="shared" si="1"/>
        <v>0</v>
      </c>
      <c r="AD8" s="89">
        <f t="shared" si="2"/>
        <v>-26</v>
      </c>
      <c r="AE8" s="89">
        <f t="shared" si="3"/>
        <v>-20</v>
      </c>
      <c r="AF8" s="5"/>
      <c r="AG8" s="5"/>
      <c r="AH8" s="5"/>
      <c r="AI8" s="5"/>
      <c r="AJ8" s="5"/>
      <c r="AK8" s="5"/>
      <c r="AL8" s="5"/>
      <c r="AM8" s="6"/>
      <c r="AN8" s="6"/>
      <c r="AO8" s="5"/>
      <c r="AP8" s="5"/>
      <c r="AQ8" s="5"/>
      <c r="AR8" s="5"/>
    </row>
    <row r="9" spans="1:44" ht="13.5" customHeight="1" thickTop="1">
      <c r="A9" s="5"/>
      <c r="B9" s="5"/>
      <c r="C9" s="5"/>
      <c r="D9" s="5"/>
      <c r="E9" s="5"/>
      <c r="F9" s="49"/>
      <c r="G9" s="49"/>
      <c r="H9" s="6"/>
      <c r="I9" s="6"/>
      <c r="J9" s="6"/>
      <c r="K9" s="6"/>
      <c r="L9" s="6"/>
      <c r="M9" s="6"/>
      <c r="N9" s="6"/>
      <c r="O9" s="6"/>
      <c r="P9" s="6"/>
      <c r="Q9" s="5"/>
      <c r="R9" s="5"/>
      <c r="S9" s="6"/>
      <c r="T9" s="6"/>
      <c r="U9" s="6"/>
      <c r="V9" s="6"/>
      <c r="W9" s="6"/>
      <c r="X9" s="6"/>
      <c r="Y9" s="6"/>
      <c r="Z9" s="6"/>
      <c r="AA9" s="89">
        <f t="shared" si="4"/>
        <v>70</v>
      </c>
      <c r="AB9" s="89">
        <f t="shared" si="0"/>
        <v>-25</v>
      </c>
      <c r="AC9" s="89">
        <f t="shared" si="1"/>
        <v>-25</v>
      </c>
      <c r="AD9" s="89">
        <f t="shared" si="2"/>
        <v>-52</v>
      </c>
      <c r="AE9" s="89">
        <f t="shared" si="3"/>
        <v>-45</v>
      </c>
      <c r="AF9" s="5"/>
      <c r="AG9" s="5"/>
      <c r="AH9" s="5"/>
      <c r="AI9" s="5"/>
      <c r="AJ9" s="5"/>
      <c r="AK9" s="5"/>
      <c r="AL9" s="5"/>
      <c r="AM9" s="6"/>
      <c r="AN9" s="6"/>
      <c r="AO9" s="5"/>
      <c r="AP9" s="5"/>
      <c r="AQ9" s="5"/>
      <c r="AR9" s="5"/>
    </row>
    <row r="10" spans="1:44" ht="13.5" customHeight="1">
      <c r="A10" s="5"/>
      <c r="B10" s="5"/>
      <c r="C10" s="5"/>
      <c r="D10" s="5"/>
      <c r="E10" s="5"/>
      <c r="F10" s="5"/>
      <c r="G10" s="49"/>
      <c r="H10" s="6"/>
      <c r="I10" s="6"/>
      <c r="J10" s="6"/>
      <c r="K10" s="6"/>
      <c r="L10" s="6"/>
      <c r="M10" s="6"/>
      <c r="N10" s="6"/>
      <c r="O10" s="6"/>
      <c r="P10" s="6"/>
      <c r="Q10" s="5"/>
      <c r="R10" s="5"/>
      <c r="S10" s="6"/>
      <c r="T10" s="6"/>
      <c r="U10" s="6"/>
      <c r="V10" s="6"/>
      <c r="W10" s="6"/>
      <c r="X10" s="6"/>
      <c r="Y10" s="6"/>
      <c r="Z10" s="6"/>
      <c r="AA10" s="89">
        <f t="shared" si="4"/>
        <v>80</v>
      </c>
      <c r="AB10" s="89">
        <f t="shared" si="0"/>
        <v>-50</v>
      </c>
      <c r="AC10" s="89">
        <f t="shared" si="1"/>
        <v>-50</v>
      </c>
      <c r="AD10" s="89">
        <f t="shared" si="2"/>
        <v>-78</v>
      </c>
      <c r="AE10" s="89">
        <f t="shared" si="3"/>
        <v>-70</v>
      </c>
      <c r="AF10" s="5"/>
      <c r="AG10" s="5"/>
      <c r="AH10" s="5"/>
      <c r="AI10" s="5"/>
      <c r="AJ10" s="5"/>
      <c r="AK10" s="5"/>
      <c r="AL10" s="5"/>
      <c r="AM10" s="6"/>
      <c r="AN10" s="6"/>
      <c r="AO10" s="5"/>
      <c r="AP10" s="5"/>
      <c r="AQ10" s="5"/>
      <c r="AR10" s="5"/>
    </row>
    <row r="11" spans="1:44" ht="13.5" customHeight="1">
      <c r="A11" s="227" t="s">
        <v>201</v>
      </c>
      <c r="B11" s="236"/>
      <c r="C11" s="90">
        <f>$C$5/$C$4</f>
        <v>2.5</v>
      </c>
      <c r="D11" s="236" t="s">
        <v>29</v>
      </c>
      <c r="E11" s="228"/>
      <c r="F11" s="5"/>
      <c r="G11" s="49"/>
      <c r="H11" s="6"/>
      <c r="I11" s="6"/>
      <c r="J11" s="6"/>
      <c r="K11" s="6"/>
      <c r="L11" s="6"/>
      <c r="M11" s="6"/>
      <c r="N11" s="6"/>
      <c r="O11" s="6"/>
      <c r="P11" s="6"/>
      <c r="Q11" s="5"/>
      <c r="R11" s="5"/>
      <c r="S11" s="6"/>
      <c r="T11" s="6"/>
      <c r="U11" s="6"/>
      <c r="V11" s="6"/>
      <c r="W11" s="6"/>
      <c r="X11" s="6"/>
      <c r="Y11" s="6"/>
      <c r="Z11" s="6"/>
      <c r="AA11" s="89">
        <f t="shared" si="4"/>
        <v>90</v>
      </c>
      <c r="AB11" s="89">
        <f t="shared" si="0"/>
        <v>-75</v>
      </c>
      <c r="AC11" s="89">
        <f t="shared" si="1"/>
        <v>-75</v>
      </c>
      <c r="AD11" s="89">
        <f t="shared" si="2"/>
        <v>-104</v>
      </c>
      <c r="AE11" s="89">
        <f t="shared" si="3"/>
        <v>-95</v>
      </c>
      <c r="AF11" s="5"/>
      <c r="AG11" s="5"/>
      <c r="AH11" s="5"/>
      <c r="AI11" s="5"/>
      <c r="AJ11" s="5"/>
      <c r="AK11" s="5"/>
      <c r="AL11" s="5"/>
      <c r="AM11" s="6"/>
      <c r="AN11" s="6"/>
      <c r="AO11" s="5"/>
      <c r="AP11" s="5"/>
      <c r="AQ11" s="5"/>
      <c r="AR11" s="5"/>
    </row>
    <row r="12" spans="1:44" ht="13.5" customHeight="1">
      <c r="A12" s="227" t="s">
        <v>202</v>
      </c>
      <c r="B12" s="236"/>
      <c r="C12" s="90">
        <f>$C$8/$C$7</f>
        <v>2.6</v>
      </c>
      <c r="D12" s="236" t="s">
        <v>29</v>
      </c>
      <c r="E12" s="228"/>
      <c r="F12" s="49"/>
      <c r="G12" s="49"/>
      <c r="H12" s="6"/>
      <c r="I12" s="6"/>
      <c r="J12" s="6"/>
      <c r="K12" s="6"/>
      <c r="L12" s="6"/>
      <c r="M12" s="6"/>
      <c r="N12" s="6"/>
      <c r="O12" s="6"/>
      <c r="P12" s="6"/>
      <c r="Q12" s="5"/>
      <c r="R12" s="5"/>
      <c r="S12" s="6"/>
      <c r="T12" s="6"/>
      <c r="U12" s="6"/>
      <c r="V12" s="6"/>
      <c r="W12" s="6"/>
      <c r="X12" s="6"/>
      <c r="Y12" s="6"/>
      <c r="Z12" s="6"/>
      <c r="AA12" s="89">
        <f t="shared" si="4"/>
        <v>100</v>
      </c>
      <c r="AB12" s="89">
        <f t="shared" si="0"/>
        <v>-100</v>
      </c>
      <c r="AC12" s="89">
        <f t="shared" si="1"/>
        <v>-100</v>
      </c>
      <c r="AD12" s="89">
        <f t="shared" si="2"/>
        <v>-130</v>
      </c>
      <c r="AE12" s="89">
        <f t="shared" si="3"/>
        <v>-120</v>
      </c>
      <c r="AF12" s="5"/>
      <c r="AG12" s="5"/>
      <c r="AH12" s="5"/>
      <c r="AI12" s="5"/>
      <c r="AJ12" s="5"/>
      <c r="AK12" s="5"/>
      <c r="AL12" s="5"/>
      <c r="AM12" s="6"/>
      <c r="AN12" s="6"/>
      <c r="AO12" s="5"/>
      <c r="AP12" s="5"/>
      <c r="AQ12" s="5"/>
      <c r="AR12" s="5"/>
    </row>
    <row r="13" spans="1:44" ht="13.5" customHeight="1" thickBot="1">
      <c r="A13" s="235" t="s">
        <v>104</v>
      </c>
      <c r="B13" s="235"/>
      <c r="C13" s="235"/>
      <c r="D13" s="235"/>
      <c r="E13" s="5"/>
      <c r="F13" s="5"/>
      <c r="G13" s="5"/>
      <c r="H13" s="6"/>
      <c r="I13" s="6"/>
      <c r="J13" s="6"/>
      <c r="K13" s="6"/>
      <c r="L13" s="6"/>
      <c r="M13" s="6"/>
      <c r="N13" s="6"/>
      <c r="O13" s="6"/>
      <c r="P13" s="6"/>
      <c r="Q13" s="5"/>
      <c r="R13" s="5"/>
      <c r="S13" s="6"/>
      <c r="T13" s="6"/>
      <c r="U13" s="6"/>
      <c r="V13" s="6"/>
      <c r="W13" s="6"/>
      <c r="X13" s="6"/>
      <c r="Y13" s="6"/>
      <c r="Z13" s="6"/>
      <c r="AA13" s="89">
        <f t="shared" si="4"/>
        <v>110</v>
      </c>
      <c r="AB13" s="89">
        <f t="shared" si="0"/>
        <v>-125</v>
      </c>
      <c r="AC13" s="89">
        <f t="shared" si="1"/>
        <v>-125</v>
      </c>
      <c r="AD13" s="89">
        <f t="shared" si="2"/>
        <v>-156</v>
      </c>
      <c r="AE13" s="89">
        <f t="shared" si="3"/>
        <v>-145</v>
      </c>
      <c r="AF13" s="5"/>
      <c r="AG13" s="5"/>
      <c r="AH13" s="5"/>
      <c r="AI13" s="5"/>
      <c r="AJ13" s="5"/>
      <c r="AK13" s="5"/>
      <c r="AL13" s="5"/>
      <c r="AM13" s="6"/>
      <c r="AN13" s="6"/>
      <c r="AO13" s="5"/>
      <c r="AP13" s="5"/>
      <c r="AQ13" s="5"/>
      <c r="AR13" s="5"/>
    </row>
    <row r="14" spans="1:44" ht="13.5" customHeight="1" thickTop="1">
      <c r="A14" s="98"/>
      <c r="B14" s="98"/>
      <c r="C14" s="99" t="s">
        <v>203</v>
      </c>
      <c r="D14" s="99" t="s">
        <v>200</v>
      </c>
      <c r="E14" s="5"/>
      <c r="F14" s="5"/>
      <c r="G14" s="5"/>
      <c r="H14" s="6"/>
      <c r="I14" s="6"/>
      <c r="J14" s="6"/>
      <c r="K14" s="6"/>
      <c r="L14" s="6"/>
      <c r="M14" s="6"/>
      <c r="N14" s="6"/>
      <c r="O14" s="6"/>
      <c r="P14" s="6"/>
      <c r="Q14" s="5"/>
      <c r="R14" s="5"/>
      <c r="S14" s="6"/>
      <c r="T14" s="6"/>
      <c r="U14" s="6"/>
      <c r="V14" s="6"/>
      <c r="W14" s="6"/>
      <c r="X14" s="6"/>
      <c r="Y14" s="6"/>
      <c r="Z14" s="6"/>
      <c r="AA14" s="89">
        <f t="shared" si="4"/>
        <v>120</v>
      </c>
      <c r="AB14" s="89">
        <f t="shared" si="0"/>
        <v>-150</v>
      </c>
      <c r="AC14" s="89">
        <f t="shared" si="1"/>
        <v>-150</v>
      </c>
      <c r="AD14" s="89">
        <f t="shared" si="2"/>
        <v>-182</v>
      </c>
      <c r="AE14" s="89">
        <f t="shared" si="3"/>
        <v>-170</v>
      </c>
      <c r="AF14" s="5"/>
      <c r="AG14" s="5"/>
      <c r="AH14" s="5"/>
      <c r="AI14" s="5"/>
      <c r="AJ14" s="5"/>
      <c r="AK14" s="5"/>
      <c r="AL14" s="5"/>
      <c r="AM14" s="6"/>
      <c r="AN14" s="6"/>
      <c r="AO14" s="5"/>
      <c r="AP14" s="5"/>
      <c r="AQ14" s="5"/>
      <c r="AR14" s="5"/>
    </row>
    <row r="15" spans="1:44" ht="13.5" customHeight="1">
      <c r="A15" s="227" t="s">
        <v>76</v>
      </c>
      <c r="B15" s="228"/>
      <c r="C15" s="95">
        <f>'Sharing Gains'!G3</f>
        <v>15</v>
      </c>
      <c r="D15" s="95">
        <f>IF($C$11&lt;$C$12,MIN($C$17,$C$4),MAX(0,$C$17-$C$7))</f>
        <v>45</v>
      </c>
      <c r="E15" s="5"/>
      <c r="F15" s="5"/>
      <c r="G15" s="5"/>
      <c r="H15" s="6"/>
      <c r="I15" s="6"/>
      <c r="J15" s="6"/>
      <c r="K15" s="6"/>
      <c r="L15" s="6"/>
      <c r="M15" s="6"/>
      <c r="N15" s="6"/>
      <c r="O15" s="6"/>
      <c r="P15" s="6"/>
      <c r="Q15" s="5"/>
      <c r="R15" s="5"/>
      <c r="S15" s="6"/>
      <c r="T15" s="6"/>
      <c r="U15" s="6"/>
      <c r="V15" s="6"/>
      <c r="W15" s="6"/>
      <c r="X15" s="6"/>
      <c r="Y15" s="6"/>
      <c r="Z15" s="6"/>
      <c r="AA15" s="89">
        <f t="shared" si="4"/>
        <v>130</v>
      </c>
      <c r="AB15" s="89">
        <f t="shared" si="0"/>
        <v>-175</v>
      </c>
      <c r="AC15" s="89">
        <f t="shared" si="1"/>
        <v>-175</v>
      </c>
      <c r="AD15" s="89">
        <f t="shared" si="2"/>
        <v>-208</v>
      </c>
      <c r="AE15" s="89">
        <f t="shared" si="3"/>
        <v>-195</v>
      </c>
      <c r="AF15" s="5"/>
      <c r="AG15" s="5"/>
      <c r="AH15" s="5"/>
      <c r="AI15" s="5"/>
      <c r="AJ15" s="5"/>
      <c r="AK15" s="5"/>
      <c r="AL15" s="5"/>
      <c r="AM15" s="6"/>
      <c r="AN15" s="6"/>
      <c r="AO15" s="5"/>
      <c r="AP15" s="5"/>
      <c r="AQ15" s="5"/>
      <c r="AR15" s="5"/>
    </row>
    <row r="16" spans="1:44" ht="13.5" customHeight="1">
      <c r="A16" s="227" t="s">
        <v>77</v>
      </c>
      <c r="B16" s="228"/>
      <c r="C16" s="95">
        <f>'Sharing Gains'!G4</f>
        <v>30</v>
      </c>
      <c r="D16" s="95">
        <f>IF($C$11&gt;$C$12,MIN($C$17,$C$7),MAX(0,$C$17-$C$4))</f>
        <v>0</v>
      </c>
      <c r="E16" s="5"/>
      <c r="F16" s="5"/>
      <c r="G16" s="5"/>
      <c r="H16" s="6"/>
      <c r="I16" s="6"/>
      <c r="J16" s="6"/>
      <c r="K16" s="5"/>
      <c r="L16" s="5"/>
      <c r="M16" s="5"/>
      <c r="N16" s="5"/>
      <c r="O16" s="5"/>
      <c r="P16" s="5"/>
      <c r="Q16" s="5"/>
      <c r="R16" s="5"/>
      <c r="S16" s="6"/>
      <c r="T16" s="6"/>
      <c r="U16" s="6"/>
      <c r="V16" s="6"/>
      <c r="W16" s="6"/>
      <c r="X16" s="6"/>
      <c r="Y16" s="6"/>
      <c r="Z16" s="6"/>
      <c r="AA16" s="89">
        <f t="shared" si="4"/>
        <v>140</v>
      </c>
      <c r="AB16" s="89">
        <f t="shared" si="0"/>
        <v>-200</v>
      </c>
      <c r="AC16" s="89">
        <f t="shared" si="1"/>
        <v>-200</v>
      </c>
      <c r="AD16" s="89">
        <f t="shared" si="2"/>
        <v>-234</v>
      </c>
      <c r="AE16" s="89">
        <f t="shared" si="3"/>
        <v>-220</v>
      </c>
      <c r="AF16" s="5"/>
      <c r="AG16" s="5"/>
      <c r="AH16" s="5"/>
      <c r="AI16" s="5"/>
      <c r="AJ16" s="5"/>
      <c r="AK16" s="5"/>
      <c r="AL16" s="5"/>
      <c r="AM16" s="6"/>
      <c r="AN16" s="6"/>
      <c r="AO16" s="5"/>
      <c r="AP16" s="5"/>
      <c r="AQ16" s="5"/>
      <c r="AR16" s="5"/>
    </row>
    <row r="17" spans="1:44" ht="13.5" customHeight="1">
      <c r="A17" s="227" t="s">
        <v>87</v>
      </c>
      <c r="B17" s="228"/>
      <c r="C17" s="95">
        <f>C15+C16</f>
        <v>45</v>
      </c>
      <c r="D17" s="95">
        <f>C15+C16</f>
        <v>45</v>
      </c>
      <c r="E17" s="5"/>
      <c r="F17" s="5"/>
      <c r="G17" s="5"/>
      <c r="H17" s="6"/>
      <c r="I17" s="6"/>
      <c r="J17" s="6"/>
      <c r="K17" s="5"/>
      <c r="L17" s="5"/>
      <c r="M17" s="5"/>
      <c r="N17" s="5"/>
      <c r="O17" s="5"/>
      <c r="P17" s="5"/>
      <c r="Q17" s="5"/>
      <c r="R17" s="5"/>
      <c r="S17" s="6"/>
      <c r="T17" s="6"/>
      <c r="U17" s="6"/>
      <c r="V17" s="6"/>
      <c r="W17" s="6"/>
      <c r="X17" s="6"/>
      <c r="Y17" s="6"/>
      <c r="Z17" s="6"/>
      <c r="AA17" s="89">
        <f t="shared" si="4"/>
        <v>150</v>
      </c>
      <c r="AB17" s="89">
        <f t="shared" si="0"/>
        <v>-225</v>
      </c>
      <c r="AC17" s="89">
        <f t="shared" si="1"/>
        <v>-225</v>
      </c>
      <c r="AD17" s="89">
        <f t="shared" si="2"/>
        <v>-260</v>
      </c>
      <c r="AE17" s="89">
        <f t="shared" si="3"/>
        <v>-245</v>
      </c>
      <c r="AF17" s="5"/>
      <c r="AG17" s="5"/>
      <c r="AH17" s="5"/>
      <c r="AI17" s="5"/>
      <c r="AJ17" s="5"/>
      <c r="AK17" s="5"/>
      <c r="AL17" s="5"/>
      <c r="AM17" s="6"/>
      <c r="AN17" s="6"/>
      <c r="AO17" s="5"/>
      <c r="AP17" s="5"/>
      <c r="AQ17" s="5"/>
      <c r="AR17" s="5"/>
    </row>
    <row r="18" spans="1:44" ht="13.5" customHeight="1">
      <c r="A18" s="227" t="s">
        <v>89</v>
      </c>
      <c r="B18" s="228"/>
      <c r="C18" s="95">
        <f>C5-(C5/C4)*C15</f>
        <v>112.5</v>
      </c>
      <c r="D18" s="95">
        <f>MAX($C$5-$C$11*$D$15,0)</f>
        <v>37.5</v>
      </c>
      <c r="E18" s="5"/>
      <c r="F18" s="5"/>
      <c r="G18" s="5"/>
      <c r="H18" s="6"/>
      <c r="I18" s="6"/>
      <c r="J18" s="6"/>
      <c r="K18" s="6"/>
      <c r="L18" s="6"/>
      <c r="M18" s="6"/>
      <c r="N18" s="6"/>
      <c r="O18" s="6"/>
      <c r="P18" s="6"/>
      <c r="Q18" s="6"/>
      <c r="R18" s="6"/>
      <c r="S18" s="6"/>
      <c r="T18" s="6"/>
      <c r="U18" s="6"/>
      <c r="V18" s="6"/>
      <c r="W18" s="6"/>
      <c r="X18" s="6"/>
      <c r="Y18" s="6"/>
      <c r="Z18" s="6"/>
      <c r="AA18" s="89">
        <f t="shared" si="4"/>
        <v>160</v>
      </c>
      <c r="AB18" s="89">
        <f t="shared" si="0"/>
        <v>-250</v>
      </c>
      <c r="AC18" s="89">
        <f t="shared" si="1"/>
        <v>-250</v>
      </c>
      <c r="AD18" s="89">
        <f t="shared" si="2"/>
        <v>-286</v>
      </c>
      <c r="AE18" s="89">
        <f t="shared" si="3"/>
        <v>-270</v>
      </c>
      <c r="AF18" s="5"/>
      <c r="AG18" s="5"/>
      <c r="AH18" s="5"/>
      <c r="AI18" s="5"/>
      <c r="AJ18" s="5"/>
      <c r="AK18" s="5"/>
      <c r="AL18" s="5"/>
      <c r="AM18" s="6"/>
      <c r="AN18" s="6"/>
      <c r="AO18" s="5"/>
      <c r="AP18" s="5"/>
      <c r="AQ18" s="5"/>
      <c r="AR18" s="5"/>
    </row>
    <row r="19" spans="1:44" ht="13.5" customHeight="1">
      <c r="A19" s="227" t="s">
        <v>90</v>
      </c>
      <c r="B19" s="228"/>
      <c r="C19" s="95">
        <f>C8-(C8/C7)*C16</f>
        <v>52</v>
      </c>
      <c r="D19" s="95">
        <f>MAX($C$8-$C$12*$D$16,0)</f>
        <v>130</v>
      </c>
      <c r="E19" s="5"/>
      <c r="F19" s="5"/>
      <c r="G19" s="5"/>
      <c r="H19" s="6"/>
      <c r="I19" s="6"/>
      <c r="J19" s="6"/>
      <c r="K19" s="6"/>
      <c r="L19" s="6"/>
      <c r="M19" s="6"/>
      <c r="N19" s="6"/>
      <c r="O19" s="6"/>
      <c r="P19" s="6"/>
      <c r="Q19" s="6"/>
      <c r="R19" s="6"/>
      <c r="S19" s="6"/>
      <c r="T19" s="6"/>
      <c r="U19" s="6"/>
      <c r="V19" s="6"/>
      <c r="W19" s="6"/>
      <c r="X19" s="6"/>
      <c r="Y19" s="6"/>
      <c r="Z19" s="6"/>
      <c r="AA19" s="89">
        <f t="shared" si="4"/>
        <v>170</v>
      </c>
      <c r="AB19" s="89">
        <f t="shared" si="0"/>
        <v>-275</v>
      </c>
      <c r="AC19" s="89">
        <f t="shared" si="1"/>
        <v>-275</v>
      </c>
      <c r="AD19" s="89">
        <f t="shared" si="2"/>
        <v>-312</v>
      </c>
      <c r="AE19" s="89">
        <f t="shared" si="3"/>
        <v>-295</v>
      </c>
      <c r="AF19" s="5"/>
      <c r="AG19" s="5"/>
      <c r="AH19" s="5"/>
      <c r="AI19" s="5"/>
      <c r="AJ19" s="5"/>
      <c r="AK19" s="5"/>
      <c r="AL19" s="5"/>
      <c r="AM19" s="5"/>
      <c r="AN19" s="5"/>
      <c r="AO19" s="5"/>
      <c r="AP19" s="5"/>
      <c r="AQ19" s="5"/>
      <c r="AR19" s="5"/>
    </row>
    <row r="20" spans="1:44" ht="13.5" customHeight="1">
      <c r="A20" s="227" t="s">
        <v>94</v>
      </c>
      <c r="B20" s="228"/>
      <c r="C20" s="95">
        <f>C18+C19</f>
        <v>164.5</v>
      </c>
      <c r="D20" s="95">
        <f>D18+D19</f>
        <v>167.5</v>
      </c>
      <c r="E20" s="5"/>
      <c r="F20" s="5"/>
      <c r="G20" s="5"/>
      <c r="H20" s="6"/>
      <c r="I20" s="6"/>
      <c r="J20" s="6"/>
      <c r="K20" s="6"/>
      <c r="L20" s="6"/>
      <c r="M20" s="6"/>
      <c r="N20" s="6"/>
      <c r="O20" s="6"/>
      <c r="P20" s="6"/>
      <c r="Q20" s="6"/>
      <c r="R20" s="6"/>
      <c r="S20" s="6"/>
      <c r="T20" s="6"/>
      <c r="U20" s="6"/>
      <c r="V20" s="6"/>
      <c r="W20" s="6"/>
      <c r="X20" s="6"/>
      <c r="Y20" s="6"/>
      <c r="Z20" s="6"/>
      <c r="AA20" s="89">
        <v>120</v>
      </c>
      <c r="AB20" s="89">
        <f t="shared" si="0"/>
        <v>-150</v>
      </c>
      <c r="AC20" s="89">
        <f t="shared" si="1"/>
        <v>-150</v>
      </c>
      <c r="AD20" s="89">
        <f t="shared" si="2"/>
        <v>-182</v>
      </c>
      <c r="AE20" s="89">
        <f t="shared" si="3"/>
        <v>-170</v>
      </c>
      <c r="AF20" s="5"/>
      <c r="AG20" s="5"/>
      <c r="AH20" s="5"/>
      <c r="AI20" s="5"/>
      <c r="AJ20" s="5"/>
      <c r="AK20" s="5"/>
      <c r="AL20" s="5"/>
      <c r="AM20" s="5"/>
      <c r="AN20" s="5"/>
      <c r="AO20" s="5"/>
      <c r="AP20" s="5"/>
      <c r="AQ20" s="5"/>
      <c r="AR20" s="5"/>
    </row>
    <row r="21" spans="1:44" ht="13.5" customHeight="1">
      <c r="A21" s="49"/>
      <c r="B21" s="49"/>
      <c r="C21" s="49"/>
      <c r="D21" s="49"/>
      <c r="E21" s="49"/>
      <c r="F21" s="49"/>
      <c r="G21" s="49"/>
      <c r="H21" s="6"/>
      <c r="I21" s="6"/>
      <c r="J21" s="6"/>
      <c r="K21" s="6"/>
      <c r="L21" s="6"/>
      <c r="M21" s="6"/>
      <c r="N21" s="6"/>
      <c r="O21" s="6"/>
      <c r="P21" s="6"/>
      <c r="Q21" s="6"/>
      <c r="R21" s="6"/>
      <c r="S21" s="6"/>
      <c r="T21" s="6"/>
      <c r="U21" s="6"/>
      <c r="V21" s="6"/>
      <c r="W21" s="6"/>
      <c r="X21" s="6"/>
      <c r="Y21" s="6"/>
      <c r="Z21" s="6"/>
      <c r="AA21" s="89">
        <v>130</v>
      </c>
      <c r="AB21" s="89">
        <f t="shared" si="0"/>
        <v>-175</v>
      </c>
      <c r="AC21" s="89">
        <f t="shared" si="1"/>
        <v>-175</v>
      </c>
      <c r="AD21" s="89">
        <f t="shared" si="2"/>
        <v>-208</v>
      </c>
      <c r="AE21" s="89">
        <f t="shared" si="3"/>
        <v>-195</v>
      </c>
      <c r="AF21" s="5"/>
      <c r="AG21" s="5"/>
      <c r="AH21" s="5"/>
      <c r="AI21" s="5"/>
      <c r="AJ21" s="5"/>
      <c r="AK21" s="5"/>
      <c r="AL21" s="5"/>
      <c r="AM21" s="5"/>
      <c r="AN21" s="5"/>
      <c r="AO21" s="5"/>
      <c r="AP21" s="5"/>
      <c r="AQ21" s="5"/>
      <c r="AR21" s="5"/>
    </row>
    <row r="22" spans="1:44" ht="13.5" customHeight="1">
      <c r="A22" s="49"/>
      <c r="B22" s="49"/>
      <c r="C22" s="49"/>
      <c r="D22" s="49"/>
      <c r="E22" s="49"/>
      <c r="F22" s="49"/>
      <c r="G22" s="49"/>
      <c r="H22" s="6"/>
      <c r="I22" s="6"/>
      <c r="J22" s="6"/>
      <c r="K22" s="6"/>
      <c r="L22" s="6"/>
      <c r="M22" s="6"/>
      <c r="N22" s="6"/>
      <c r="O22" s="6"/>
      <c r="P22" s="6"/>
      <c r="Q22" s="6"/>
      <c r="R22" s="6"/>
      <c r="S22" s="6"/>
      <c r="T22" s="6"/>
      <c r="U22" s="6"/>
      <c r="V22" s="6"/>
      <c r="W22" s="6"/>
      <c r="X22" s="6"/>
      <c r="Y22" s="6"/>
      <c r="Z22" s="6"/>
      <c r="AA22" s="89">
        <v>140</v>
      </c>
      <c r="AB22" s="89">
        <f t="shared" si="0"/>
        <v>-200</v>
      </c>
      <c r="AC22" s="89">
        <f t="shared" si="1"/>
        <v>-200</v>
      </c>
      <c r="AD22" s="89">
        <f t="shared" si="2"/>
        <v>-234</v>
      </c>
      <c r="AE22" s="89">
        <f t="shared" si="3"/>
        <v>-220</v>
      </c>
      <c r="AF22" s="5"/>
      <c r="AG22" s="5"/>
      <c r="AH22" s="5"/>
      <c r="AI22" s="5"/>
      <c r="AJ22" s="5"/>
      <c r="AK22" s="5"/>
      <c r="AL22" s="5"/>
      <c r="AM22" s="5"/>
      <c r="AN22" s="5"/>
      <c r="AO22" s="5"/>
      <c r="AP22" s="5"/>
      <c r="AQ22" s="5"/>
      <c r="AR22" s="5"/>
    </row>
    <row r="23" spans="1:44" ht="13.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89">
        <v>150</v>
      </c>
      <c r="AB23" s="89">
        <f t="shared" si="0"/>
        <v>-225</v>
      </c>
      <c r="AC23" s="89">
        <f t="shared" si="1"/>
        <v>-225</v>
      </c>
      <c r="AD23" s="89">
        <f t="shared" si="2"/>
        <v>-260</v>
      </c>
      <c r="AE23" s="89">
        <f t="shared" si="3"/>
        <v>-245</v>
      </c>
      <c r="AF23" s="5"/>
      <c r="AG23" s="5"/>
      <c r="AH23" s="5"/>
      <c r="AI23" s="5"/>
      <c r="AJ23" s="5"/>
      <c r="AK23" s="5"/>
      <c r="AL23" s="5"/>
      <c r="AM23" s="5"/>
      <c r="AN23" s="5"/>
      <c r="AO23" s="5"/>
      <c r="AP23" s="5"/>
      <c r="AQ23" s="5"/>
      <c r="AR23" s="5"/>
    </row>
    <row r="24" spans="1:44" ht="13.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89">
        <v>160</v>
      </c>
      <c r="AB24" s="89">
        <f t="shared" si="0"/>
        <v>-250</v>
      </c>
      <c r="AC24" s="89">
        <f t="shared" si="1"/>
        <v>-250</v>
      </c>
      <c r="AD24" s="89">
        <f t="shared" si="2"/>
        <v>-286</v>
      </c>
      <c r="AE24" s="89">
        <f t="shared" si="3"/>
        <v>-270</v>
      </c>
      <c r="AF24" s="5"/>
      <c r="AG24" s="5"/>
      <c r="AH24" s="5"/>
      <c r="AI24" s="5"/>
      <c r="AJ24" s="5"/>
      <c r="AK24" s="5"/>
      <c r="AL24" s="5"/>
      <c r="AM24" s="5"/>
      <c r="AN24" s="5"/>
      <c r="AO24" s="5"/>
      <c r="AP24" s="5"/>
      <c r="AQ24" s="5"/>
      <c r="AR24" s="5"/>
    </row>
    <row r="25" spans="1:44" ht="13.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89">
        <v>170</v>
      </c>
      <c r="AB25" s="89">
        <f t="shared" si="0"/>
        <v>-275</v>
      </c>
      <c r="AC25" s="89">
        <f t="shared" si="1"/>
        <v>-275</v>
      </c>
      <c r="AD25" s="89">
        <f t="shared" si="2"/>
        <v>-312</v>
      </c>
      <c r="AE25" s="89">
        <f t="shared" si="3"/>
        <v>-295</v>
      </c>
      <c r="AF25" s="5"/>
      <c r="AG25" s="5"/>
      <c r="AH25" s="5"/>
      <c r="AI25" s="5"/>
      <c r="AJ25" s="5"/>
      <c r="AK25" s="5"/>
      <c r="AL25" s="5"/>
      <c r="AM25" s="5"/>
      <c r="AN25" s="5"/>
      <c r="AO25" s="5"/>
      <c r="AP25" s="5"/>
      <c r="AQ25" s="5"/>
      <c r="AR25" s="5"/>
    </row>
    <row r="26" spans="1:44" ht="13.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89">
        <f>AA19+10</f>
        <v>180</v>
      </c>
      <c r="AB26" s="89">
        <f t="shared" si="0"/>
        <v>-300</v>
      </c>
      <c r="AC26" s="89">
        <f t="shared" si="1"/>
        <v>-300</v>
      </c>
      <c r="AD26" s="89">
        <f t="shared" si="2"/>
        <v>-338</v>
      </c>
      <c r="AE26" s="89">
        <f t="shared" si="3"/>
        <v>-320</v>
      </c>
      <c r="AF26" s="5"/>
      <c r="AG26" s="5"/>
      <c r="AH26" s="5"/>
      <c r="AI26" s="5"/>
      <c r="AJ26" s="5"/>
      <c r="AK26" s="5"/>
      <c r="AL26" s="5"/>
      <c r="AM26" s="5"/>
      <c r="AN26" s="5"/>
      <c r="AO26" s="5"/>
      <c r="AP26" s="5"/>
      <c r="AQ26" s="5"/>
      <c r="AR26" s="5"/>
    </row>
    <row r="27" spans="1:44" ht="13.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89">
        <f>AA26+10</f>
        <v>190</v>
      </c>
      <c r="AB27" s="89">
        <f t="shared" si="0"/>
        <v>-325</v>
      </c>
      <c r="AC27" s="89">
        <f t="shared" si="1"/>
        <v>-325</v>
      </c>
      <c r="AD27" s="89">
        <f t="shared" si="2"/>
        <v>-364</v>
      </c>
      <c r="AE27" s="89">
        <f t="shared" si="3"/>
        <v>-345</v>
      </c>
      <c r="AF27" s="5"/>
      <c r="AG27" s="5"/>
      <c r="AH27" s="5"/>
      <c r="AI27" s="5"/>
      <c r="AJ27" s="5"/>
      <c r="AK27" s="5"/>
      <c r="AL27" s="5"/>
      <c r="AM27" s="5"/>
      <c r="AN27" s="5"/>
      <c r="AO27" s="5"/>
      <c r="AP27" s="5"/>
      <c r="AQ27" s="5"/>
      <c r="AR27" s="5"/>
    </row>
    <row r="28" spans="1:44" ht="13.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89">
        <f>AA27+10</f>
        <v>200</v>
      </c>
      <c r="AB28" s="89">
        <f t="shared" si="0"/>
        <v>-350</v>
      </c>
      <c r="AC28" s="89">
        <f t="shared" si="1"/>
        <v>-350</v>
      </c>
      <c r="AD28" s="89">
        <f t="shared" si="2"/>
        <v>-390</v>
      </c>
      <c r="AE28" s="89">
        <f t="shared" si="3"/>
        <v>-370</v>
      </c>
      <c r="AF28" s="5"/>
      <c r="AG28" s="5"/>
      <c r="AH28" s="5"/>
      <c r="AI28" s="5"/>
      <c r="AJ28" s="5"/>
      <c r="AK28" s="5"/>
      <c r="AL28" s="5"/>
      <c r="AM28" s="5"/>
      <c r="AN28" s="5"/>
      <c r="AO28" s="5"/>
      <c r="AP28" s="5"/>
      <c r="AQ28" s="5"/>
      <c r="AR28" s="5"/>
    </row>
    <row r="29" spans="1:44" ht="13.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5"/>
      <c r="AB29" s="5"/>
      <c r="AC29" s="5"/>
      <c r="AD29" s="5"/>
      <c r="AE29" s="5"/>
      <c r="AF29" s="5"/>
      <c r="AG29" s="5"/>
      <c r="AH29" s="5"/>
      <c r="AI29" s="5"/>
      <c r="AJ29" s="5"/>
      <c r="AK29" s="5"/>
      <c r="AL29" s="5"/>
      <c r="AM29" s="5"/>
      <c r="AN29" s="5"/>
      <c r="AO29" s="5"/>
      <c r="AP29" s="5"/>
      <c r="AQ29" s="5"/>
      <c r="AR29" s="5"/>
    </row>
    <row r="30" spans="1:44" s="9" customFormat="1" ht="13.5" customHeight="1">
      <c r="A30" s="6"/>
      <c r="B30" s="6"/>
      <c r="C30" s="6"/>
      <c r="D30" s="7"/>
      <c r="E30" s="6"/>
      <c r="F30" s="6"/>
      <c r="G30" s="6"/>
      <c r="H30" s="6"/>
      <c r="I30" s="6"/>
      <c r="J30" s="6"/>
      <c r="K30" s="6"/>
      <c r="L30" s="6"/>
      <c r="M30" s="6"/>
      <c r="N30" s="6"/>
      <c r="O30" s="6"/>
      <c r="P30" s="6"/>
      <c r="Q30" s="6"/>
      <c r="R30" s="6"/>
      <c r="S30" s="6"/>
      <c r="T30" s="6"/>
      <c r="U30" s="6"/>
      <c r="V30" s="6"/>
      <c r="W30" s="6"/>
      <c r="X30" s="6"/>
      <c r="Y30" s="6"/>
      <c r="Z30" s="6"/>
      <c r="AA30" s="49"/>
      <c r="AB30" s="49"/>
      <c r="AC30" s="49"/>
      <c r="AD30" s="49"/>
      <c r="AE30" s="49"/>
      <c r="AF30" s="49"/>
      <c r="AG30" s="49"/>
      <c r="AH30" s="49"/>
      <c r="AI30" s="49"/>
      <c r="AJ30" s="49"/>
      <c r="AK30" s="49"/>
      <c r="AL30" s="49"/>
      <c r="AM30" s="49"/>
      <c r="AN30" s="49"/>
      <c r="AO30" s="49"/>
      <c r="AP30" s="49"/>
      <c r="AQ30" s="49"/>
      <c r="AR30" s="49"/>
    </row>
    <row r="31" spans="1:44" s="9" customFormat="1" ht="13.5" customHeight="1">
      <c r="A31" s="49"/>
      <c r="B31" s="49"/>
      <c r="C31" s="49"/>
      <c r="D31" s="49"/>
      <c r="E31" s="49"/>
      <c r="F31" s="49"/>
      <c r="G31" s="6"/>
      <c r="H31" s="6"/>
      <c r="I31" s="6"/>
      <c r="J31" s="6"/>
      <c r="K31" s="6"/>
      <c r="L31" s="6"/>
      <c r="M31" s="6"/>
      <c r="N31" s="6"/>
      <c r="O31" s="6"/>
      <c r="P31" s="6"/>
      <c r="Q31" s="6"/>
      <c r="R31" s="6"/>
      <c r="S31" s="6"/>
      <c r="T31" s="6"/>
      <c r="U31" s="6"/>
      <c r="V31" s="6"/>
      <c r="W31" s="6"/>
      <c r="X31" s="6"/>
      <c r="Y31" s="6"/>
      <c r="Z31" s="6"/>
      <c r="AA31" s="49"/>
      <c r="AB31" s="49"/>
      <c r="AC31" s="49"/>
      <c r="AD31" s="49"/>
      <c r="AE31" s="49"/>
      <c r="AF31" s="49"/>
      <c r="AG31" s="49"/>
      <c r="AH31" s="49"/>
      <c r="AI31" s="49"/>
      <c r="AJ31" s="49"/>
      <c r="AK31" s="49"/>
      <c r="AL31" s="49"/>
      <c r="AM31" s="49"/>
      <c r="AN31" s="49"/>
      <c r="AO31" s="49"/>
      <c r="AP31" s="49"/>
      <c r="AQ31" s="49"/>
      <c r="AR31" s="49"/>
    </row>
    <row r="32" spans="1:44" s="9" customFormat="1" ht="13.5" customHeight="1">
      <c r="A32" s="49"/>
      <c r="B32" s="49"/>
      <c r="C32" s="49"/>
      <c r="D32" s="49"/>
      <c r="E32" s="49"/>
      <c r="F32" s="49"/>
      <c r="G32" s="6"/>
      <c r="H32" s="6"/>
      <c r="I32" s="6"/>
      <c r="J32" s="6"/>
      <c r="K32" s="6"/>
      <c r="L32" s="6"/>
      <c r="M32" s="6"/>
      <c r="N32" s="6"/>
      <c r="O32" s="6"/>
      <c r="P32" s="6"/>
      <c r="Q32" s="6"/>
      <c r="R32" s="6"/>
      <c r="S32" s="6"/>
      <c r="T32" s="6"/>
      <c r="U32" s="6"/>
      <c r="V32" s="6"/>
      <c r="W32" s="6"/>
      <c r="X32" s="6"/>
      <c r="Y32" s="6"/>
      <c r="Z32" s="6"/>
      <c r="AA32" s="49"/>
      <c r="AB32" s="49"/>
      <c r="AC32" s="49"/>
      <c r="AD32" s="49"/>
      <c r="AE32" s="49"/>
      <c r="AF32" s="49"/>
      <c r="AG32" s="49"/>
      <c r="AH32" s="49"/>
      <c r="AI32" s="49"/>
      <c r="AJ32" s="49"/>
      <c r="AK32" s="49"/>
      <c r="AL32" s="49"/>
      <c r="AM32" s="49"/>
      <c r="AN32" s="49"/>
      <c r="AO32" s="49"/>
      <c r="AP32" s="49"/>
      <c r="AQ32" s="49"/>
      <c r="AR32" s="49"/>
    </row>
    <row r="33" spans="1:44" s="9" customFormat="1" ht="13.5" customHeight="1">
      <c r="A33" s="49"/>
      <c r="B33" s="49"/>
      <c r="C33" s="49"/>
      <c r="D33" s="49"/>
      <c r="E33" s="49"/>
      <c r="F33" s="49"/>
      <c r="G33" s="6"/>
      <c r="H33" s="6"/>
      <c r="I33" s="6"/>
      <c r="J33" s="6"/>
      <c r="K33" s="6"/>
      <c r="L33" s="6"/>
      <c r="M33" s="6"/>
      <c r="N33" s="6"/>
      <c r="O33" s="6"/>
      <c r="P33" s="6"/>
      <c r="Q33" s="6"/>
      <c r="R33" s="6"/>
      <c r="S33" s="6"/>
      <c r="T33" s="6"/>
      <c r="U33" s="6"/>
      <c r="V33" s="6"/>
      <c r="W33" s="6"/>
      <c r="X33" s="6"/>
      <c r="Y33" s="6"/>
      <c r="Z33" s="6"/>
      <c r="AA33" s="49"/>
      <c r="AB33" s="49"/>
      <c r="AC33" s="49"/>
      <c r="AD33" s="49"/>
      <c r="AE33" s="49"/>
      <c r="AF33" s="49"/>
      <c r="AG33" s="49"/>
      <c r="AH33" s="49"/>
      <c r="AI33" s="49"/>
      <c r="AJ33" s="49"/>
      <c r="AK33" s="49"/>
      <c r="AL33" s="49"/>
      <c r="AM33" s="49"/>
      <c r="AN33" s="49"/>
      <c r="AO33" s="49"/>
      <c r="AP33" s="49"/>
      <c r="AQ33" s="49"/>
      <c r="AR33" s="49"/>
    </row>
    <row r="34" spans="1:44" s="9" customFormat="1" ht="13.5" customHeight="1">
      <c r="A34" s="49"/>
      <c r="B34" s="49"/>
      <c r="C34" s="49"/>
      <c r="D34" s="49"/>
      <c r="E34" s="49"/>
      <c r="F34" s="49"/>
      <c r="G34" s="6"/>
      <c r="H34" s="6"/>
      <c r="I34" s="6"/>
      <c r="J34" s="6"/>
      <c r="K34" s="6"/>
      <c r="L34" s="6"/>
      <c r="M34" s="6"/>
      <c r="N34" s="6"/>
      <c r="O34" s="6"/>
      <c r="P34" s="6"/>
      <c r="Q34" s="6"/>
      <c r="R34" s="6"/>
      <c r="S34" s="6"/>
      <c r="T34" s="6"/>
      <c r="U34" s="6"/>
      <c r="V34" s="6"/>
      <c r="W34" s="6"/>
      <c r="X34" s="6"/>
      <c r="Y34" s="6"/>
      <c r="Z34" s="6"/>
      <c r="AA34" s="6"/>
      <c r="AB34" s="6"/>
      <c r="AC34" s="6"/>
      <c r="AD34" s="6"/>
      <c r="AE34" s="49"/>
      <c r="AF34" s="49"/>
      <c r="AG34" s="49"/>
      <c r="AH34" s="49"/>
      <c r="AI34" s="49"/>
      <c r="AJ34" s="49"/>
      <c r="AK34" s="49"/>
      <c r="AL34" s="49"/>
      <c r="AM34" s="49"/>
      <c r="AN34" s="49"/>
      <c r="AO34" s="49"/>
      <c r="AP34" s="49"/>
      <c r="AQ34" s="49"/>
      <c r="AR34" s="49"/>
    </row>
    <row r="35" spans="1:44" s="9" customFormat="1" ht="13.5" customHeight="1">
      <c r="A35" s="49"/>
      <c r="B35" s="49"/>
      <c r="C35" s="49"/>
      <c r="D35" s="49"/>
      <c r="E35" s="49"/>
      <c r="F35" s="49"/>
      <c r="G35" s="6"/>
      <c r="H35" s="6"/>
      <c r="I35" s="6"/>
      <c r="J35" s="6"/>
      <c r="K35" s="6"/>
      <c r="L35" s="6"/>
      <c r="M35" s="6"/>
      <c r="N35" s="6"/>
      <c r="O35" s="6"/>
      <c r="P35" s="6"/>
      <c r="Q35" s="6"/>
      <c r="R35" s="6"/>
      <c r="S35" s="6"/>
      <c r="T35" s="6"/>
      <c r="U35" s="6"/>
      <c r="V35" s="6"/>
      <c r="W35" s="6"/>
      <c r="X35" s="6"/>
      <c r="Y35" s="6"/>
      <c r="Z35" s="6"/>
      <c r="AA35" s="6"/>
      <c r="AB35" s="6"/>
      <c r="AC35" s="6"/>
      <c r="AD35" s="6"/>
      <c r="AE35" s="49"/>
      <c r="AF35" s="49"/>
      <c r="AG35" s="49"/>
      <c r="AH35" s="49"/>
      <c r="AI35" s="49"/>
      <c r="AJ35" s="49"/>
      <c r="AK35" s="49"/>
      <c r="AL35" s="49"/>
      <c r="AM35" s="49"/>
      <c r="AN35" s="49"/>
      <c r="AO35" s="49"/>
      <c r="AP35" s="49"/>
      <c r="AQ35" s="49"/>
      <c r="AR35" s="49"/>
    </row>
    <row r="36" spans="1:44" s="9" customFormat="1" ht="13.5" customHeight="1">
      <c r="A36" s="49"/>
      <c r="B36" s="49"/>
      <c r="C36" s="49"/>
      <c r="D36" s="49"/>
      <c r="E36" s="49"/>
      <c r="F36" s="49"/>
      <c r="G36" s="6"/>
      <c r="H36" s="6"/>
      <c r="I36" s="6"/>
      <c r="J36" s="6"/>
      <c r="K36" s="6"/>
      <c r="L36" s="6"/>
      <c r="M36" s="6"/>
      <c r="N36" s="6"/>
      <c r="O36" s="6"/>
      <c r="P36" s="6"/>
      <c r="Q36" s="6"/>
      <c r="R36" s="6"/>
      <c r="S36" s="6"/>
      <c r="T36" s="6"/>
      <c r="U36" s="6"/>
      <c r="V36" s="6"/>
      <c r="W36" s="6"/>
      <c r="X36" s="6"/>
      <c r="Y36" s="6"/>
      <c r="Z36" s="6"/>
      <c r="AA36" s="6"/>
      <c r="AB36" s="6"/>
      <c r="AC36" s="6"/>
      <c r="AD36" s="6"/>
      <c r="AE36" s="49"/>
      <c r="AF36" s="49"/>
      <c r="AG36" s="49"/>
      <c r="AH36" s="49"/>
      <c r="AI36" s="49"/>
      <c r="AJ36" s="49"/>
      <c r="AK36" s="49"/>
      <c r="AL36" s="49"/>
      <c r="AM36" s="49"/>
      <c r="AN36" s="49"/>
      <c r="AO36" s="49"/>
      <c r="AP36" s="49"/>
      <c r="AQ36" s="49"/>
      <c r="AR36" s="49"/>
    </row>
    <row r="37" spans="1:44" s="9" customFormat="1" ht="13.5" customHeight="1">
      <c r="A37" s="49"/>
      <c r="B37" s="49"/>
      <c r="C37" s="49"/>
      <c r="D37" s="49"/>
      <c r="E37" s="49"/>
      <c r="F37" s="49"/>
      <c r="G37" s="6"/>
      <c r="H37" s="6"/>
      <c r="I37" s="6"/>
      <c r="J37" s="6"/>
      <c r="K37" s="6"/>
      <c r="L37" s="6"/>
      <c r="M37" s="6"/>
      <c r="N37" s="6"/>
      <c r="O37" s="6"/>
      <c r="P37" s="6"/>
      <c r="Q37" s="6"/>
      <c r="R37" s="6"/>
      <c r="S37" s="6"/>
      <c r="T37" s="6"/>
      <c r="U37" s="6"/>
      <c r="V37" s="6"/>
      <c r="W37" s="6"/>
      <c r="X37" s="6"/>
      <c r="Y37" s="6"/>
      <c r="Z37" s="6"/>
      <c r="AA37" s="6"/>
      <c r="AB37" s="6"/>
      <c r="AC37" s="6"/>
      <c r="AD37" s="6"/>
      <c r="AE37" s="49"/>
      <c r="AF37" s="49"/>
      <c r="AG37" s="49"/>
      <c r="AH37" s="49"/>
      <c r="AI37" s="49"/>
      <c r="AJ37" s="49"/>
      <c r="AK37" s="49"/>
      <c r="AL37" s="49"/>
      <c r="AM37" s="49"/>
      <c r="AN37" s="49"/>
      <c r="AO37" s="49"/>
      <c r="AP37" s="49"/>
      <c r="AQ37" s="49"/>
      <c r="AR37" s="49"/>
    </row>
    <row r="38" spans="1:44" s="9" customFormat="1" ht="13.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49"/>
      <c r="AF38" s="49"/>
      <c r="AG38" s="49"/>
      <c r="AH38" s="49"/>
      <c r="AI38" s="49"/>
      <c r="AJ38" s="49"/>
      <c r="AK38" s="49"/>
      <c r="AL38" s="49"/>
      <c r="AM38" s="49"/>
      <c r="AN38" s="49"/>
      <c r="AO38" s="49"/>
      <c r="AP38" s="49"/>
      <c r="AQ38" s="49"/>
      <c r="AR38" s="49"/>
    </row>
    <row r="39" spans="1:44" s="9" customFormat="1" ht="13.5" customHeight="1">
      <c r="A39" s="49"/>
      <c r="B39" s="49"/>
      <c r="C39" s="49"/>
      <c r="D39" s="49"/>
      <c r="E39" s="49"/>
      <c r="F39" s="6"/>
      <c r="G39" s="7"/>
      <c r="H39" s="6"/>
      <c r="I39" s="7"/>
      <c r="J39" s="6"/>
      <c r="K39" s="6"/>
      <c r="L39" s="6"/>
      <c r="M39" s="6"/>
      <c r="N39" s="6"/>
      <c r="O39" s="6"/>
      <c r="P39" s="6"/>
      <c r="Q39" s="6"/>
      <c r="R39" s="6"/>
      <c r="S39" s="6"/>
      <c r="T39" s="6"/>
      <c r="U39" s="6"/>
      <c r="V39" s="6"/>
      <c r="W39" s="6"/>
      <c r="X39" s="6"/>
      <c r="Y39" s="6"/>
      <c r="Z39" s="6"/>
      <c r="AA39" s="6"/>
      <c r="AB39" s="6"/>
      <c r="AC39" s="6"/>
      <c r="AD39" s="6"/>
      <c r="AE39" s="49"/>
      <c r="AF39" s="49"/>
      <c r="AG39" s="49"/>
      <c r="AH39" s="49"/>
      <c r="AI39" s="49"/>
      <c r="AJ39" s="49"/>
      <c r="AK39" s="49"/>
      <c r="AL39" s="49"/>
      <c r="AM39" s="49"/>
      <c r="AN39" s="49"/>
      <c r="AO39" s="49"/>
      <c r="AP39" s="49"/>
      <c r="AQ39" s="49"/>
      <c r="AR39" s="49"/>
    </row>
    <row r="40" spans="1:44" s="9" customFormat="1" ht="13.5" customHeight="1">
      <c r="A40" s="49"/>
      <c r="B40" s="49"/>
      <c r="C40" s="49"/>
      <c r="D40" s="49"/>
      <c r="E40" s="49"/>
      <c r="F40" s="7"/>
      <c r="G40" s="6"/>
      <c r="H40" s="6"/>
      <c r="I40" s="6"/>
      <c r="J40" s="6"/>
      <c r="K40" s="6"/>
      <c r="L40" s="6"/>
      <c r="M40" s="6"/>
      <c r="N40" s="6"/>
      <c r="O40" s="6"/>
      <c r="P40" s="6"/>
      <c r="Q40" s="6"/>
      <c r="R40" s="6"/>
      <c r="S40" s="6"/>
      <c r="T40" s="6"/>
      <c r="U40" s="6"/>
      <c r="V40" s="6"/>
      <c r="W40" s="6"/>
      <c r="X40" s="6"/>
      <c r="Y40" s="6"/>
      <c r="Z40" s="6"/>
      <c r="AA40" s="6"/>
      <c r="AB40" s="6"/>
      <c r="AC40" s="6"/>
      <c r="AD40" s="6"/>
      <c r="AE40" s="49"/>
      <c r="AF40" s="49"/>
      <c r="AG40" s="49"/>
      <c r="AH40" s="49"/>
      <c r="AI40" s="49"/>
      <c r="AJ40" s="49"/>
      <c r="AK40" s="49"/>
      <c r="AL40" s="49"/>
      <c r="AM40" s="49"/>
      <c r="AN40" s="49"/>
      <c r="AO40" s="49"/>
      <c r="AP40" s="49"/>
      <c r="AQ40" s="49"/>
      <c r="AR40" s="49"/>
    </row>
    <row r="41" spans="1:44" s="9" customFormat="1" ht="13.5" customHeight="1">
      <c r="A41" s="49"/>
      <c r="B41" s="49"/>
      <c r="C41" s="49"/>
      <c r="D41" s="49"/>
      <c r="E41" s="49"/>
      <c r="F41" s="7"/>
      <c r="G41" s="6"/>
      <c r="H41" s="6"/>
      <c r="I41" s="6"/>
      <c r="J41" s="6"/>
      <c r="K41" s="6"/>
      <c r="L41" s="6"/>
      <c r="M41" s="6"/>
      <c r="N41" s="6"/>
      <c r="O41" s="6"/>
      <c r="P41" s="6"/>
      <c r="Q41" s="6"/>
      <c r="R41" s="6"/>
      <c r="S41" s="6"/>
      <c r="T41" s="6"/>
      <c r="U41" s="6"/>
      <c r="V41" s="6"/>
      <c r="W41" s="6"/>
      <c r="X41" s="6"/>
      <c r="Y41" s="6"/>
      <c r="Z41" s="6"/>
      <c r="AA41" s="6"/>
      <c r="AB41" s="6"/>
      <c r="AC41" s="6"/>
      <c r="AD41" s="6"/>
      <c r="AE41" s="49"/>
      <c r="AF41" s="49"/>
      <c r="AG41" s="49"/>
      <c r="AH41" s="49"/>
      <c r="AI41" s="49"/>
      <c r="AJ41" s="49"/>
      <c r="AK41" s="49"/>
      <c r="AL41" s="49"/>
      <c r="AM41" s="49"/>
      <c r="AN41" s="49"/>
      <c r="AO41" s="49"/>
      <c r="AP41" s="49"/>
      <c r="AQ41" s="49"/>
      <c r="AR41" s="49"/>
    </row>
    <row r="42" spans="1:44" s="9" customFormat="1" ht="13.5" customHeight="1">
      <c r="A42" s="49"/>
      <c r="B42" s="49"/>
      <c r="C42" s="49"/>
      <c r="D42" s="49"/>
      <c r="E42" s="49"/>
      <c r="F42" s="7"/>
      <c r="G42" s="6"/>
      <c r="H42" s="6"/>
      <c r="I42" s="6"/>
      <c r="J42" s="6"/>
      <c r="K42" s="6"/>
      <c r="L42" s="6"/>
      <c r="M42" s="6"/>
      <c r="N42" s="6"/>
      <c r="O42" s="6"/>
      <c r="P42" s="6"/>
      <c r="Q42" s="6"/>
      <c r="R42" s="6"/>
      <c r="S42" s="6"/>
      <c r="T42" s="6"/>
      <c r="U42" s="6"/>
      <c r="V42" s="6"/>
      <c r="W42" s="6"/>
      <c r="X42" s="6"/>
      <c r="Y42" s="6"/>
      <c r="Z42" s="6"/>
      <c r="AA42" s="6"/>
      <c r="AB42" s="6"/>
      <c r="AC42" s="6"/>
      <c r="AD42" s="6"/>
      <c r="AE42" s="49"/>
      <c r="AF42" s="49"/>
      <c r="AG42" s="49"/>
      <c r="AH42" s="49"/>
      <c r="AI42" s="49"/>
      <c r="AJ42" s="49"/>
      <c r="AK42" s="49"/>
      <c r="AL42" s="49"/>
      <c r="AM42" s="49"/>
      <c r="AN42" s="49"/>
      <c r="AO42" s="49"/>
      <c r="AP42" s="49"/>
      <c r="AQ42" s="49"/>
      <c r="AR42" s="49"/>
    </row>
    <row r="43" spans="1:44" s="9" customFormat="1" ht="13.5" customHeight="1">
      <c r="A43" s="49"/>
      <c r="B43" s="49"/>
      <c r="C43" s="49"/>
      <c r="D43" s="49"/>
      <c r="E43" s="49"/>
      <c r="F43" s="6"/>
      <c r="G43" s="6"/>
      <c r="H43" s="6"/>
      <c r="I43" s="6"/>
      <c r="J43" s="6"/>
      <c r="K43" s="6"/>
      <c r="L43" s="6"/>
      <c r="M43" s="7"/>
      <c r="N43" s="7"/>
      <c r="O43" s="7"/>
      <c r="P43" s="6"/>
      <c r="Q43" s="6"/>
      <c r="R43" s="6"/>
      <c r="S43" s="6"/>
      <c r="T43" s="6"/>
      <c r="U43" s="6"/>
      <c r="V43" s="6"/>
      <c r="W43" s="6"/>
      <c r="X43" s="6"/>
      <c r="Y43" s="6"/>
      <c r="Z43" s="6"/>
      <c r="AA43" s="6"/>
      <c r="AB43" s="6"/>
      <c r="AC43" s="6"/>
      <c r="AD43" s="6"/>
      <c r="AE43" s="49"/>
      <c r="AF43" s="49"/>
      <c r="AG43" s="49"/>
      <c r="AH43" s="49"/>
      <c r="AI43" s="49"/>
      <c r="AJ43" s="49"/>
      <c r="AK43" s="49"/>
      <c r="AL43" s="49"/>
      <c r="AM43" s="49"/>
      <c r="AN43" s="49"/>
      <c r="AO43" s="49"/>
      <c r="AP43" s="49"/>
      <c r="AQ43" s="49"/>
      <c r="AR43" s="49"/>
    </row>
    <row r="44" spans="1:44" s="9" customFormat="1" ht="13.5" customHeight="1">
      <c r="A44" s="49"/>
      <c r="B44" s="49"/>
      <c r="C44" s="49"/>
      <c r="D44" s="49"/>
      <c r="E44" s="49"/>
      <c r="F44" s="7"/>
      <c r="G44" s="6"/>
      <c r="H44" s="6"/>
      <c r="I44" s="6"/>
      <c r="J44" s="6"/>
      <c r="K44" s="6"/>
      <c r="L44" s="6"/>
      <c r="M44" s="7"/>
      <c r="N44" s="7"/>
      <c r="O44" s="7"/>
      <c r="P44" s="6"/>
      <c r="Q44" s="6"/>
      <c r="R44" s="6"/>
      <c r="S44" s="6"/>
      <c r="T44" s="6"/>
      <c r="U44" s="6"/>
      <c r="V44" s="6"/>
      <c r="W44" s="6"/>
      <c r="X44" s="6"/>
      <c r="Y44" s="6"/>
      <c r="Z44" s="6"/>
      <c r="AA44" s="6"/>
      <c r="AB44" s="6"/>
      <c r="AC44" s="6"/>
      <c r="AD44" s="6"/>
      <c r="AE44" s="49"/>
      <c r="AF44" s="49"/>
      <c r="AG44" s="49"/>
      <c r="AH44" s="49"/>
      <c r="AI44" s="49"/>
      <c r="AJ44" s="49"/>
      <c r="AK44" s="49"/>
      <c r="AL44" s="49"/>
      <c r="AM44" s="49"/>
      <c r="AN44" s="49"/>
      <c r="AO44" s="49"/>
      <c r="AP44" s="49"/>
      <c r="AQ44" s="49"/>
      <c r="AR44" s="49"/>
    </row>
    <row r="45" spans="1:44" s="9" customFormat="1" ht="13.5" customHeight="1">
      <c r="A45" s="49"/>
      <c r="B45" s="49"/>
      <c r="C45" s="49"/>
      <c r="D45" s="49"/>
      <c r="E45" s="49"/>
      <c r="F45" s="6"/>
      <c r="G45" s="6"/>
      <c r="H45" s="6"/>
      <c r="I45" s="6"/>
      <c r="J45" s="6"/>
      <c r="K45" s="6"/>
      <c r="L45" s="6"/>
      <c r="M45" s="6"/>
      <c r="N45" s="6"/>
      <c r="O45" s="6"/>
      <c r="P45" s="6"/>
      <c r="Q45" s="6"/>
      <c r="R45" s="6"/>
      <c r="S45" s="6"/>
      <c r="T45" s="6"/>
      <c r="U45" s="6"/>
      <c r="V45" s="6"/>
      <c r="W45" s="6"/>
      <c r="X45" s="6"/>
      <c r="Y45" s="6"/>
      <c r="Z45" s="6"/>
      <c r="AA45" s="6"/>
      <c r="AB45" s="6"/>
      <c r="AC45" s="6"/>
      <c r="AD45" s="6"/>
      <c r="AE45" s="49"/>
      <c r="AF45" s="49"/>
      <c r="AG45" s="49"/>
      <c r="AH45" s="49"/>
      <c r="AI45" s="49"/>
      <c r="AJ45" s="49"/>
      <c r="AK45" s="49"/>
      <c r="AL45" s="49"/>
      <c r="AM45" s="49"/>
      <c r="AN45" s="49"/>
      <c r="AO45" s="49"/>
      <c r="AP45" s="49"/>
      <c r="AQ45" s="49"/>
      <c r="AR45" s="49"/>
    </row>
    <row r="46" spans="1:44" s="9" customFormat="1" ht="13.5" customHeight="1">
      <c r="A46" s="49"/>
      <c r="B46" s="49"/>
      <c r="C46" s="49"/>
      <c r="D46" s="49"/>
      <c r="E46" s="49"/>
      <c r="F46" s="6"/>
      <c r="G46" s="6"/>
      <c r="H46" s="6"/>
      <c r="I46" s="6"/>
      <c r="J46" s="6"/>
      <c r="K46" s="6"/>
      <c r="L46" s="6"/>
      <c r="M46" s="6"/>
      <c r="N46" s="6"/>
      <c r="O46" s="6"/>
      <c r="P46" s="6"/>
      <c r="Q46" s="6"/>
      <c r="R46" s="6"/>
      <c r="S46" s="6"/>
      <c r="T46" s="6"/>
      <c r="U46" s="6"/>
      <c r="V46" s="6"/>
      <c r="W46" s="6"/>
      <c r="X46" s="6"/>
      <c r="Y46" s="6"/>
      <c r="Z46" s="6"/>
      <c r="AA46" s="6"/>
      <c r="AB46" s="6"/>
      <c r="AC46" s="6"/>
      <c r="AD46" s="6"/>
      <c r="AE46" s="49"/>
      <c r="AF46" s="49"/>
      <c r="AG46" s="49"/>
      <c r="AH46" s="49"/>
      <c r="AI46" s="49"/>
      <c r="AJ46" s="49"/>
      <c r="AK46" s="49"/>
      <c r="AL46" s="49"/>
      <c r="AM46" s="49"/>
      <c r="AN46" s="49"/>
      <c r="AO46" s="49"/>
      <c r="AP46" s="49"/>
      <c r="AQ46" s="49"/>
      <c r="AR46" s="49"/>
    </row>
    <row r="47" spans="1:44" s="9" customFormat="1" ht="13.5" customHeight="1">
      <c r="A47" s="49"/>
      <c r="B47" s="49"/>
      <c r="C47" s="49"/>
      <c r="D47" s="49"/>
      <c r="E47" s="49"/>
      <c r="F47" s="6"/>
      <c r="G47" s="6"/>
      <c r="H47" s="6"/>
      <c r="I47" s="6"/>
      <c r="J47" s="6"/>
      <c r="K47" s="6"/>
      <c r="L47" s="6"/>
      <c r="M47" s="6"/>
      <c r="N47" s="6"/>
      <c r="O47" s="6"/>
      <c r="P47" s="6"/>
      <c r="Q47" s="6"/>
      <c r="R47" s="6"/>
      <c r="S47" s="6"/>
      <c r="T47" s="6"/>
      <c r="U47" s="6"/>
      <c r="V47" s="6"/>
      <c r="W47" s="6"/>
      <c r="X47" s="6"/>
      <c r="Y47" s="6"/>
      <c r="Z47" s="6"/>
      <c r="AA47" s="6"/>
      <c r="AB47" s="6"/>
      <c r="AC47" s="6"/>
      <c r="AD47" s="6"/>
      <c r="AE47" s="49"/>
      <c r="AF47" s="49"/>
      <c r="AG47" s="49"/>
      <c r="AH47" s="49"/>
      <c r="AI47" s="49"/>
      <c r="AJ47" s="49"/>
      <c r="AK47" s="49"/>
      <c r="AL47" s="49"/>
      <c r="AM47" s="49"/>
      <c r="AN47" s="49"/>
      <c r="AO47" s="49"/>
      <c r="AP47" s="49"/>
      <c r="AQ47" s="49"/>
      <c r="AR47" s="49"/>
    </row>
    <row r="48" spans="1:44" s="9" customFormat="1" ht="13.5" customHeight="1">
      <c r="A48" s="49"/>
      <c r="B48" s="49"/>
      <c r="C48" s="49"/>
      <c r="D48" s="49"/>
      <c r="E48" s="49"/>
      <c r="F48" s="6"/>
      <c r="G48" s="6"/>
      <c r="H48" s="6"/>
      <c r="I48" s="6"/>
      <c r="J48" s="6"/>
      <c r="K48" s="6"/>
      <c r="L48" s="6"/>
      <c r="M48" s="6"/>
      <c r="N48" s="6"/>
      <c r="O48" s="6"/>
      <c r="P48" s="6"/>
      <c r="Q48" s="6"/>
      <c r="R48" s="6"/>
      <c r="S48" s="6"/>
      <c r="T48" s="6"/>
      <c r="U48" s="6"/>
      <c r="V48" s="6"/>
      <c r="W48" s="6"/>
      <c r="X48" s="6"/>
      <c r="Y48" s="6"/>
      <c r="Z48" s="6"/>
      <c r="AA48" s="6"/>
      <c r="AB48" s="6"/>
      <c r="AC48" s="6"/>
      <c r="AD48" s="6"/>
      <c r="AE48" s="49"/>
      <c r="AF48" s="49"/>
      <c r="AG48" s="49"/>
      <c r="AH48" s="49"/>
      <c r="AI48" s="49"/>
      <c r="AJ48" s="49"/>
      <c r="AK48" s="49"/>
      <c r="AL48" s="49"/>
      <c r="AM48" s="49"/>
      <c r="AN48" s="49"/>
      <c r="AO48" s="49"/>
      <c r="AP48" s="49"/>
      <c r="AQ48" s="49"/>
      <c r="AR48" s="49"/>
    </row>
    <row r="49" spans="1:44" s="9" customFormat="1" ht="13.5" customHeight="1">
      <c r="A49" s="49"/>
      <c r="B49" s="49"/>
      <c r="C49" s="49"/>
      <c r="D49" s="49"/>
      <c r="E49" s="49"/>
      <c r="F49" s="6"/>
      <c r="G49" s="6"/>
      <c r="H49" s="6"/>
      <c r="I49" s="6"/>
      <c r="J49" s="6"/>
      <c r="K49" s="6"/>
      <c r="L49" s="6"/>
      <c r="M49" s="6"/>
      <c r="N49" s="6"/>
      <c r="O49" s="6"/>
      <c r="P49" s="6"/>
      <c r="Q49" s="6"/>
      <c r="R49" s="6"/>
      <c r="S49" s="6"/>
      <c r="T49" s="6"/>
      <c r="U49" s="6"/>
      <c r="V49" s="6"/>
      <c r="W49" s="6"/>
      <c r="X49" s="6"/>
      <c r="Y49" s="6"/>
      <c r="Z49" s="6"/>
      <c r="AA49" s="6"/>
      <c r="AB49" s="6"/>
      <c r="AC49" s="6"/>
      <c r="AD49" s="6"/>
      <c r="AE49" s="49"/>
      <c r="AF49" s="49"/>
      <c r="AG49" s="49"/>
      <c r="AH49" s="49"/>
      <c r="AI49" s="49"/>
      <c r="AJ49" s="49"/>
      <c r="AK49" s="49"/>
      <c r="AL49" s="49"/>
      <c r="AM49" s="49"/>
      <c r="AN49" s="49"/>
      <c r="AO49" s="49"/>
      <c r="AP49" s="49"/>
      <c r="AQ49" s="49"/>
      <c r="AR49" s="49"/>
    </row>
    <row r="50" spans="1:44" s="9" customFormat="1" ht="13.5" customHeight="1">
      <c r="A50" s="49"/>
      <c r="B50" s="49"/>
      <c r="C50" s="49"/>
      <c r="D50" s="49"/>
      <c r="E50" s="49"/>
      <c r="F50" s="6"/>
      <c r="G50" s="6"/>
      <c r="H50" s="6"/>
      <c r="I50" s="6"/>
      <c r="J50" s="6"/>
      <c r="K50" s="6"/>
      <c r="L50" s="6"/>
      <c r="M50" s="6"/>
      <c r="N50" s="6"/>
      <c r="O50" s="6"/>
      <c r="P50" s="6"/>
      <c r="Q50" s="6"/>
      <c r="R50" s="6"/>
      <c r="S50" s="6"/>
      <c r="T50" s="6"/>
      <c r="U50" s="6"/>
      <c r="V50" s="6"/>
      <c r="W50" s="6"/>
      <c r="X50" s="6"/>
      <c r="Y50" s="6"/>
      <c r="Z50" s="6"/>
      <c r="AA50" s="6"/>
      <c r="AB50" s="6"/>
      <c r="AC50" s="6"/>
      <c r="AD50" s="6"/>
      <c r="AE50" s="49"/>
      <c r="AF50" s="49"/>
      <c r="AG50" s="49"/>
      <c r="AH50" s="49"/>
      <c r="AI50" s="49"/>
      <c r="AJ50" s="49"/>
      <c r="AK50" s="49"/>
      <c r="AL50" s="49"/>
      <c r="AM50" s="49"/>
      <c r="AN50" s="49"/>
      <c r="AO50" s="49"/>
      <c r="AP50" s="49"/>
      <c r="AQ50" s="49"/>
      <c r="AR50" s="49"/>
    </row>
    <row r="51" spans="1:44" s="9" customFormat="1" ht="13.5" customHeight="1">
      <c r="A51" s="49"/>
      <c r="B51" s="49"/>
      <c r="C51" s="49"/>
      <c r="D51" s="49"/>
      <c r="E51" s="49"/>
      <c r="F51" s="6"/>
      <c r="G51" s="6"/>
      <c r="H51" s="6"/>
      <c r="I51" s="6"/>
      <c r="J51" s="6"/>
      <c r="K51" s="6"/>
      <c r="L51" s="6"/>
      <c r="M51" s="6"/>
      <c r="N51" s="6"/>
      <c r="O51" s="6"/>
      <c r="P51" s="6"/>
      <c r="Q51" s="6"/>
      <c r="R51" s="6"/>
      <c r="S51" s="6"/>
      <c r="T51" s="6"/>
      <c r="U51" s="6"/>
      <c r="V51" s="6"/>
      <c r="W51" s="6"/>
      <c r="X51" s="6"/>
      <c r="Y51" s="6"/>
      <c r="Z51" s="6"/>
      <c r="AA51" s="6"/>
      <c r="AB51" s="6"/>
      <c r="AC51" s="6"/>
      <c r="AD51" s="6"/>
      <c r="AE51" s="49"/>
      <c r="AF51" s="49"/>
      <c r="AG51" s="49"/>
      <c r="AH51" s="49"/>
      <c r="AI51" s="49"/>
      <c r="AJ51" s="49"/>
      <c r="AK51" s="49"/>
      <c r="AL51" s="49"/>
      <c r="AM51" s="49"/>
      <c r="AN51" s="49"/>
      <c r="AO51" s="49"/>
      <c r="AP51" s="49"/>
      <c r="AQ51" s="49"/>
      <c r="AR51" s="49"/>
    </row>
    <row r="52" spans="1:44" s="9" customFormat="1" ht="13.5" customHeight="1">
      <c r="A52" s="49"/>
      <c r="B52" s="49"/>
      <c r="C52" s="49"/>
      <c r="D52" s="49"/>
      <c r="E52" s="49"/>
      <c r="F52" s="6"/>
      <c r="G52" s="6"/>
      <c r="H52" s="6"/>
      <c r="I52" s="6"/>
      <c r="J52" s="6"/>
      <c r="K52" s="6"/>
      <c r="L52" s="6"/>
      <c r="M52" s="6"/>
      <c r="N52" s="6"/>
      <c r="O52" s="6"/>
      <c r="P52" s="6"/>
      <c r="Q52" s="6"/>
      <c r="R52" s="6"/>
      <c r="S52" s="6"/>
      <c r="T52" s="6"/>
      <c r="U52" s="6"/>
      <c r="V52" s="6"/>
      <c r="W52" s="6"/>
      <c r="X52" s="6"/>
      <c r="Y52" s="6"/>
      <c r="Z52" s="6"/>
      <c r="AA52" s="6"/>
      <c r="AB52" s="6"/>
      <c r="AC52" s="6"/>
      <c r="AD52" s="6"/>
      <c r="AE52" s="49"/>
      <c r="AF52" s="49"/>
      <c r="AG52" s="49"/>
      <c r="AH52" s="49"/>
      <c r="AI52" s="49"/>
      <c r="AJ52" s="49"/>
      <c r="AK52" s="49"/>
      <c r="AL52" s="49"/>
      <c r="AM52" s="49"/>
      <c r="AN52" s="49"/>
      <c r="AO52" s="49"/>
      <c r="AP52" s="49"/>
      <c r="AQ52" s="49"/>
      <c r="AR52" s="49"/>
    </row>
    <row r="53" spans="1:44" s="9" customFormat="1" ht="13.5" customHeight="1">
      <c r="A53" s="49"/>
      <c r="B53" s="49"/>
      <c r="C53" s="49"/>
      <c r="D53" s="49"/>
      <c r="E53" s="49"/>
      <c r="F53" s="6"/>
      <c r="G53" s="6"/>
      <c r="H53" s="6"/>
      <c r="I53" s="6"/>
      <c r="J53" s="6"/>
      <c r="K53" s="6"/>
      <c r="L53" s="6"/>
      <c r="M53" s="6"/>
      <c r="N53" s="6"/>
      <c r="O53" s="6"/>
      <c r="P53" s="6"/>
      <c r="Q53" s="6"/>
      <c r="R53" s="6"/>
      <c r="S53" s="6"/>
      <c r="T53" s="6"/>
      <c r="U53" s="6"/>
      <c r="V53" s="6"/>
      <c r="W53" s="6"/>
      <c r="X53" s="6"/>
      <c r="Y53" s="6"/>
      <c r="Z53" s="6"/>
      <c r="AA53" s="6"/>
      <c r="AB53" s="6"/>
      <c r="AC53" s="6"/>
      <c r="AD53" s="6"/>
      <c r="AE53" s="49"/>
      <c r="AF53" s="49"/>
      <c r="AG53" s="49"/>
      <c r="AH53" s="49"/>
      <c r="AI53" s="49"/>
      <c r="AJ53" s="49"/>
      <c r="AK53" s="49"/>
      <c r="AL53" s="49"/>
      <c r="AM53" s="49"/>
      <c r="AN53" s="49"/>
      <c r="AO53" s="49"/>
      <c r="AP53" s="49"/>
      <c r="AQ53" s="49"/>
      <c r="AR53" s="49"/>
    </row>
    <row r="54" spans="1:44" s="9" customFormat="1" ht="13.5" customHeight="1">
      <c r="A54" s="49"/>
      <c r="B54" s="49"/>
      <c r="C54" s="49"/>
      <c r="D54" s="49"/>
      <c r="E54" s="49"/>
      <c r="F54" s="6"/>
      <c r="G54" s="6"/>
      <c r="H54" s="6"/>
      <c r="I54" s="6"/>
      <c r="J54" s="6"/>
      <c r="K54" s="6"/>
      <c r="L54" s="6"/>
      <c r="M54" s="6"/>
      <c r="N54" s="6"/>
      <c r="O54" s="6"/>
      <c r="P54" s="6"/>
      <c r="Q54" s="6"/>
      <c r="R54" s="6"/>
      <c r="S54" s="6"/>
      <c r="T54" s="6"/>
      <c r="U54" s="6"/>
      <c r="V54" s="6"/>
      <c r="W54" s="6"/>
      <c r="X54" s="6"/>
      <c r="Y54" s="6"/>
      <c r="Z54" s="6"/>
      <c r="AA54" s="6"/>
      <c r="AB54" s="6"/>
      <c r="AC54" s="6"/>
      <c r="AD54" s="6"/>
      <c r="AE54" s="49"/>
      <c r="AF54" s="49"/>
      <c r="AG54" s="49"/>
      <c r="AH54" s="49"/>
      <c r="AI54" s="49"/>
      <c r="AJ54" s="49"/>
      <c r="AK54" s="49"/>
      <c r="AL54" s="49"/>
      <c r="AM54" s="49"/>
      <c r="AN54" s="49"/>
      <c r="AO54" s="49"/>
      <c r="AP54" s="49"/>
      <c r="AQ54" s="49"/>
      <c r="AR54" s="49"/>
    </row>
    <row r="55" spans="1:44" s="9" customFormat="1" ht="13.5" customHeight="1">
      <c r="A55" s="49"/>
      <c r="B55" s="49"/>
      <c r="C55" s="49"/>
      <c r="D55" s="49"/>
      <c r="E55" s="49"/>
      <c r="F55" s="6"/>
      <c r="G55" s="6"/>
      <c r="H55" s="6"/>
      <c r="I55" s="6"/>
      <c r="J55" s="6"/>
      <c r="K55" s="6"/>
      <c r="L55" s="6"/>
      <c r="M55" s="6"/>
      <c r="N55" s="6"/>
      <c r="O55" s="6"/>
      <c r="P55" s="6"/>
      <c r="Q55" s="6"/>
      <c r="R55" s="6"/>
      <c r="S55" s="6"/>
      <c r="T55" s="6"/>
      <c r="U55" s="6"/>
      <c r="V55" s="6"/>
      <c r="W55" s="6"/>
      <c r="X55" s="6"/>
      <c r="Y55" s="6"/>
      <c r="Z55" s="6"/>
      <c r="AA55" s="6"/>
      <c r="AB55" s="6"/>
      <c r="AC55" s="6"/>
      <c r="AD55" s="6"/>
      <c r="AE55" s="49"/>
      <c r="AF55" s="49"/>
      <c r="AG55" s="49"/>
      <c r="AH55" s="49"/>
      <c r="AI55" s="49"/>
      <c r="AJ55" s="49"/>
      <c r="AK55" s="49"/>
      <c r="AL55" s="49"/>
      <c r="AM55" s="49"/>
      <c r="AN55" s="49"/>
      <c r="AO55" s="49"/>
      <c r="AP55" s="49"/>
      <c r="AQ55" s="49"/>
      <c r="AR55" s="49"/>
    </row>
    <row r="56" spans="1:44" s="9" customFormat="1" ht="13.5" customHeight="1">
      <c r="A56" s="49"/>
      <c r="B56" s="49"/>
      <c r="C56" s="49"/>
      <c r="D56" s="49"/>
      <c r="E56" s="49"/>
      <c r="F56" s="6"/>
      <c r="G56" s="6"/>
      <c r="H56" s="6"/>
      <c r="I56" s="6"/>
      <c r="J56" s="6"/>
      <c r="K56" s="6"/>
      <c r="L56" s="6"/>
      <c r="M56" s="6"/>
      <c r="N56" s="6"/>
      <c r="O56" s="6"/>
      <c r="P56" s="6"/>
      <c r="Q56" s="6"/>
      <c r="R56" s="6"/>
      <c r="S56" s="6"/>
      <c r="T56" s="6"/>
      <c r="U56" s="6"/>
      <c r="V56" s="6"/>
      <c r="W56" s="6"/>
      <c r="X56" s="6"/>
      <c r="Y56" s="6"/>
      <c r="Z56" s="6"/>
      <c r="AA56" s="6"/>
      <c r="AB56" s="6"/>
      <c r="AC56" s="6"/>
      <c r="AD56" s="6"/>
      <c r="AE56" s="49"/>
      <c r="AF56" s="49"/>
      <c r="AG56" s="49"/>
      <c r="AH56" s="49"/>
      <c r="AI56" s="49"/>
      <c r="AJ56" s="49"/>
      <c r="AK56" s="49"/>
      <c r="AL56" s="49"/>
      <c r="AM56" s="49"/>
      <c r="AN56" s="49"/>
      <c r="AO56" s="49"/>
      <c r="AP56" s="49"/>
      <c r="AQ56" s="49"/>
      <c r="AR56" s="49"/>
    </row>
    <row r="57" spans="1:44" s="9" customFormat="1" ht="13.5" customHeight="1">
      <c r="A57" s="49"/>
      <c r="B57" s="49"/>
      <c r="C57" s="49"/>
      <c r="D57" s="49"/>
      <c r="E57" s="49"/>
      <c r="F57" s="6"/>
      <c r="G57" s="6"/>
      <c r="H57" s="6"/>
      <c r="I57" s="6"/>
      <c r="J57" s="6"/>
      <c r="K57" s="6"/>
      <c r="L57" s="6"/>
      <c r="M57" s="6"/>
      <c r="N57" s="6"/>
      <c r="O57" s="6"/>
      <c r="P57" s="6"/>
      <c r="Q57" s="6"/>
      <c r="R57" s="6"/>
      <c r="S57" s="6"/>
      <c r="T57" s="6"/>
      <c r="U57" s="6"/>
      <c r="V57" s="6"/>
      <c r="W57" s="6"/>
      <c r="X57" s="6"/>
      <c r="Y57" s="6"/>
      <c r="Z57" s="6"/>
      <c r="AA57" s="6"/>
      <c r="AB57" s="6"/>
      <c r="AC57" s="6"/>
      <c r="AD57" s="6"/>
      <c r="AE57" s="49"/>
      <c r="AF57" s="49"/>
      <c r="AG57" s="49"/>
      <c r="AH57" s="49"/>
      <c r="AI57" s="49"/>
      <c r="AJ57" s="49"/>
      <c r="AK57" s="49"/>
      <c r="AL57" s="49"/>
      <c r="AM57" s="49"/>
      <c r="AN57" s="49"/>
      <c r="AO57" s="49"/>
      <c r="AP57" s="49"/>
      <c r="AQ57" s="49"/>
      <c r="AR57" s="49"/>
    </row>
    <row r="58" spans="1:44" s="9" customFormat="1" ht="13.5" customHeight="1">
      <c r="A58" s="49"/>
      <c r="B58" s="49"/>
      <c r="C58" s="49"/>
      <c r="D58" s="49"/>
      <c r="E58" s="49"/>
      <c r="F58" s="6"/>
      <c r="G58" s="6"/>
      <c r="H58" s="6"/>
      <c r="I58" s="6"/>
      <c r="J58" s="6"/>
      <c r="K58" s="6"/>
      <c r="L58" s="6"/>
      <c r="M58" s="6"/>
      <c r="N58" s="6"/>
      <c r="O58" s="6"/>
      <c r="P58" s="6"/>
      <c r="Q58" s="6"/>
      <c r="R58" s="6"/>
      <c r="S58" s="6"/>
      <c r="T58" s="6"/>
      <c r="U58" s="6"/>
      <c r="V58" s="6"/>
      <c r="W58" s="6"/>
      <c r="X58" s="6"/>
      <c r="Y58" s="6"/>
      <c r="Z58" s="6"/>
      <c r="AA58" s="6"/>
      <c r="AB58" s="6"/>
      <c r="AC58" s="6"/>
      <c r="AD58" s="6"/>
      <c r="AE58" s="49"/>
      <c r="AF58" s="49"/>
      <c r="AG58" s="49"/>
      <c r="AH58" s="49"/>
      <c r="AI58" s="49"/>
      <c r="AJ58" s="49"/>
      <c r="AK58" s="49"/>
      <c r="AL58" s="49"/>
      <c r="AM58" s="49"/>
      <c r="AN58" s="49"/>
      <c r="AO58" s="49"/>
      <c r="AP58" s="49"/>
      <c r="AQ58" s="49"/>
      <c r="AR58" s="49"/>
    </row>
    <row r="59" spans="1:44" s="9" customFormat="1" ht="13.5" customHeight="1">
      <c r="A59" s="49"/>
      <c r="B59" s="49"/>
      <c r="C59" s="49"/>
      <c r="D59" s="49"/>
      <c r="E59" s="49"/>
      <c r="F59" s="6"/>
      <c r="G59" s="6"/>
      <c r="H59" s="6"/>
      <c r="I59" s="6"/>
      <c r="J59" s="6"/>
      <c r="K59" s="6"/>
      <c r="L59" s="6"/>
      <c r="M59" s="6"/>
      <c r="N59" s="6"/>
      <c r="O59" s="6"/>
      <c r="P59" s="6"/>
      <c r="Q59" s="6"/>
      <c r="R59" s="6"/>
      <c r="S59" s="6"/>
      <c r="T59" s="6"/>
      <c r="U59" s="6"/>
      <c r="V59" s="6"/>
      <c r="W59" s="6"/>
      <c r="X59" s="6"/>
      <c r="Y59" s="6"/>
      <c r="Z59" s="6"/>
      <c r="AA59" s="6"/>
      <c r="AB59" s="6"/>
      <c r="AC59" s="6"/>
      <c r="AD59" s="6"/>
      <c r="AE59" s="49"/>
      <c r="AF59" s="49"/>
      <c r="AG59" s="49"/>
      <c r="AH59" s="49"/>
      <c r="AI59" s="49"/>
      <c r="AJ59" s="49"/>
      <c r="AK59" s="49"/>
      <c r="AL59" s="49"/>
      <c r="AM59" s="49"/>
      <c r="AN59" s="49"/>
      <c r="AO59" s="49"/>
      <c r="AP59" s="49"/>
      <c r="AQ59" s="49"/>
      <c r="AR59" s="49"/>
    </row>
    <row r="60" spans="1:44" s="9" customFormat="1" ht="13.5" customHeight="1">
      <c r="A60" s="49"/>
      <c r="B60" s="49"/>
      <c r="C60" s="49"/>
      <c r="D60" s="49"/>
      <c r="E60" s="49"/>
      <c r="F60" s="6"/>
      <c r="G60" s="6"/>
      <c r="H60" s="6"/>
      <c r="I60" s="6"/>
      <c r="J60" s="6"/>
      <c r="K60" s="6"/>
      <c r="L60" s="6"/>
      <c r="M60" s="6"/>
      <c r="N60" s="6"/>
      <c r="O60" s="6"/>
      <c r="P60" s="6"/>
      <c r="Q60" s="6"/>
      <c r="R60" s="6"/>
      <c r="S60" s="6"/>
      <c r="T60" s="6"/>
      <c r="U60" s="6"/>
      <c r="V60" s="6"/>
      <c r="W60" s="6"/>
      <c r="X60" s="6"/>
      <c r="Y60" s="6"/>
      <c r="Z60" s="6"/>
      <c r="AA60" s="6"/>
      <c r="AB60" s="6"/>
      <c r="AC60" s="6"/>
      <c r="AD60" s="6"/>
      <c r="AE60" s="49"/>
      <c r="AF60" s="49"/>
      <c r="AG60" s="49"/>
      <c r="AH60" s="49"/>
      <c r="AI60" s="49"/>
      <c r="AJ60" s="49"/>
      <c r="AK60" s="49"/>
      <c r="AL60" s="49"/>
      <c r="AM60" s="49"/>
      <c r="AN60" s="49"/>
      <c r="AO60" s="49"/>
      <c r="AP60" s="49"/>
      <c r="AQ60" s="49"/>
      <c r="AR60" s="49"/>
    </row>
    <row r="61" spans="1:44" ht="13.5" customHeight="1">
      <c r="A61" s="5"/>
      <c r="B61" s="5"/>
      <c r="C61" s="5"/>
      <c r="D61" s="5"/>
      <c r="E61" s="5"/>
      <c r="F61" s="6"/>
      <c r="G61" s="6"/>
      <c r="H61" s="6"/>
      <c r="I61" s="6"/>
      <c r="J61" s="6"/>
      <c r="K61" s="6"/>
      <c r="L61" s="6"/>
      <c r="M61" s="6"/>
      <c r="N61" s="6"/>
      <c r="O61" s="6"/>
      <c r="P61" s="6"/>
      <c r="Q61" s="6"/>
      <c r="R61" s="6"/>
      <c r="S61" s="6"/>
      <c r="T61" s="6"/>
      <c r="U61" s="6"/>
      <c r="V61" s="6"/>
      <c r="W61" s="6"/>
      <c r="X61" s="6"/>
      <c r="Y61" s="6"/>
      <c r="Z61" s="6"/>
      <c r="AA61" s="6"/>
      <c r="AB61" s="6"/>
      <c r="AC61" s="6"/>
      <c r="AD61" s="6"/>
      <c r="AE61" s="5"/>
      <c r="AF61" s="5"/>
      <c r="AG61" s="5"/>
      <c r="AH61" s="5"/>
      <c r="AI61" s="5"/>
      <c r="AJ61" s="5"/>
      <c r="AK61" s="5"/>
      <c r="AL61" s="5"/>
      <c r="AM61" s="5"/>
      <c r="AN61" s="5"/>
      <c r="AO61" s="5"/>
      <c r="AP61" s="5"/>
      <c r="AQ61" s="5"/>
      <c r="AR61" s="5"/>
    </row>
    <row r="62" spans="1:44" ht="13.5" customHeight="1">
      <c r="A62" s="5"/>
      <c r="B62" s="5"/>
      <c r="C62" s="5"/>
      <c r="D62" s="5"/>
      <c r="E62" s="5"/>
      <c r="F62" s="6"/>
      <c r="G62" s="6"/>
      <c r="H62" s="6"/>
      <c r="I62" s="6"/>
      <c r="J62" s="6"/>
      <c r="K62" s="6"/>
      <c r="L62" s="6"/>
      <c r="M62" s="6"/>
      <c r="N62" s="6"/>
      <c r="O62" s="6"/>
      <c r="P62" s="6"/>
      <c r="Q62" s="6"/>
      <c r="R62" s="6"/>
      <c r="S62" s="6"/>
      <c r="T62" s="6"/>
      <c r="U62" s="6"/>
      <c r="V62" s="6"/>
      <c r="W62" s="6"/>
      <c r="X62" s="6"/>
      <c r="Y62" s="6"/>
      <c r="Z62" s="6"/>
      <c r="AA62" s="6"/>
      <c r="AB62" s="6"/>
      <c r="AC62" s="6"/>
      <c r="AD62" s="6"/>
      <c r="AE62" s="5"/>
      <c r="AF62" s="5"/>
      <c r="AG62" s="5"/>
      <c r="AH62" s="5"/>
      <c r="AI62" s="5"/>
      <c r="AJ62" s="5"/>
      <c r="AK62" s="5"/>
      <c r="AL62" s="5"/>
      <c r="AM62" s="5"/>
      <c r="AN62" s="5"/>
      <c r="AO62" s="5"/>
      <c r="AP62" s="5"/>
      <c r="AQ62" s="5"/>
      <c r="AR62" s="5"/>
    </row>
    <row r="63" spans="1:44" ht="13.5" customHeight="1">
      <c r="A63" s="5"/>
      <c r="B63" s="5"/>
      <c r="C63" s="5"/>
      <c r="D63" s="5"/>
      <c r="E63" s="5"/>
      <c r="F63" s="6"/>
      <c r="G63" s="6"/>
      <c r="H63" s="6"/>
      <c r="I63" s="6"/>
      <c r="J63" s="6"/>
      <c r="K63" s="6"/>
      <c r="L63" s="6"/>
      <c r="M63" s="6"/>
      <c r="N63" s="6"/>
      <c r="O63" s="6"/>
      <c r="P63" s="6"/>
      <c r="Q63" s="6"/>
      <c r="R63" s="6"/>
      <c r="S63" s="6"/>
      <c r="T63" s="6"/>
      <c r="U63" s="6"/>
      <c r="V63" s="6"/>
      <c r="W63" s="6"/>
      <c r="X63" s="6"/>
      <c r="Y63" s="6"/>
      <c r="Z63" s="6"/>
      <c r="AA63" s="6"/>
      <c r="AB63" s="6"/>
      <c r="AC63" s="6"/>
      <c r="AD63" s="6"/>
      <c r="AE63" s="5"/>
      <c r="AF63" s="5"/>
      <c r="AG63" s="5"/>
      <c r="AH63" s="5"/>
      <c r="AI63" s="5"/>
      <c r="AJ63" s="5"/>
      <c r="AK63" s="5"/>
      <c r="AL63" s="5"/>
      <c r="AM63" s="5"/>
      <c r="AN63" s="5"/>
      <c r="AO63" s="5"/>
      <c r="AP63" s="5"/>
      <c r="AQ63" s="5"/>
      <c r="AR63" s="5"/>
    </row>
    <row r="64" spans="1:44" ht="13.5" customHeight="1">
      <c r="A64" s="5"/>
      <c r="B64" s="5"/>
      <c r="C64" s="5"/>
      <c r="D64" s="5"/>
      <c r="E64" s="5"/>
      <c r="F64" s="6"/>
      <c r="G64" s="6"/>
      <c r="H64" s="6"/>
      <c r="I64" s="6"/>
      <c r="J64" s="6"/>
      <c r="K64" s="6"/>
      <c r="L64" s="6"/>
      <c r="M64" s="6"/>
      <c r="N64" s="6"/>
      <c r="O64" s="6"/>
      <c r="P64" s="6"/>
      <c r="Q64" s="6"/>
      <c r="R64" s="6"/>
      <c r="S64" s="6"/>
      <c r="T64" s="6"/>
      <c r="U64" s="6"/>
      <c r="V64" s="6"/>
      <c r="W64" s="6"/>
      <c r="X64" s="6"/>
      <c r="Y64" s="6"/>
      <c r="Z64" s="6"/>
      <c r="AA64" s="6"/>
      <c r="AB64" s="6"/>
      <c r="AC64" s="6"/>
      <c r="AD64" s="6"/>
      <c r="AE64" s="5"/>
      <c r="AF64" s="5"/>
      <c r="AG64" s="5"/>
      <c r="AH64" s="5"/>
      <c r="AI64" s="5"/>
      <c r="AJ64" s="5"/>
      <c r="AK64" s="5"/>
      <c r="AL64" s="5"/>
      <c r="AM64" s="5"/>
      <c r="AN64" s="5"/>
      <c r="AO64" s="5"/>
      <c r="AP64" s="5"/>
      <c r="AQ64" s="5"/>
      <c r="AR64" s="5"/>
    </row>
    <row r="65" spans="1:44" ht="13.5" customHeight="1">
      <c r="A65" s="5"/>
      <c r="B65" s="5"/>
      <c r="C65" s="5"/>
      <c r="D65" s="5"/>
      <c r="E65" s="5"/>
      <c r="F65" s="6"/>
      <c r="G65" s="6"/>
      <c r="H65" s="6"/>
      <c r="I65" s="6"/>
      <c r="J65" s="6"/>
      <c r="K65" s="6"/>
      <c r="L65" s="6"/>
      <c r="M65" s="6"/>
      <c r="N65" s="6"/>
      <c r="O65" s="6"/>
      <c r="P65" s="6"/>
      <c r="Q65" s="6"/>
      <c r="R65" s="6"/>
      <c r="S65" s="6"/>
      <c r="T65" s="6"/>
      <c r="U65" s="6"/>
      <c r="V65" s="6"/>
      <c r="W65" s="6"/>
      <c r="X65" s="6"/>
      <c r="Y65" s="6"/>
      <c r="Z65" s="6"/>
      <c r="AA65" s="6"/>
      <c r="AB65" s="6"/>
      <c r="AC65" s="6"/>
      <c r="AD65" s="6"/>
      <c r="AE65" s="5"/>
      <c r="AF65" s="5"/>
      <c r="AG65" s="5"/>
      <c r="AH65" s="5"/>
      <c r="AI65" s="5"/>
      <c r="AJ65" s="5"/>
      <c r="AK65" s="5"/>
      <c r="AL65" s="5"/>
      <c r="AM65" s="5"/>
      <c r="AN65" s="5"/>
      <c r="AO65" s="5"/>
      <c r="AP65" s="5"/>
      <c r="AQ65" s="5"/>
      <c r="AR65" s="5"/>
    </row>
    <row r="66" spans="1:44" ht="13.5" customHeight="1">
      <c r="A66" s="5"/>
      <c r="B66" s="5"/>
      <c r="C66" s="5"/>
      <c r="D66" s="5"/>
      <c r="E66" s="5"/>
      <c r="F66" s="6"/>
      <c r="G66" s="6"/>
      <c r="H66" s="6"/>
      <c r="I66" s="6"/>
      <c r="J66" s="6"/>
      <c r="K66" s="6"/>
      <c r="L66" s="6"/>
      <c r="M66" s="6"/>
      <c r="N66" s="6"/>
      <c r="O66" s="6"/>
      <c r="P66" s="6"/>
      <c r="Q66" s="6"/>
      <c r="R66" s="6"/>
      <c r="S66" s="6"/>
      <c r="T66" s="6"/>
      <c r="U66" s="6"/>
      <c r="V66" s="6"/>
      <c r="W66" s="6"/>
      <c r="X66" s="6"/>
      <c r="Y66" s="6"/>
      <c r="Z66" s="6"/>
      <c r="AA66" s="6"/>
      <c r="AB66" s="6"/>
      <c r="AC66" s="6"/>
      <c r="AD66" s="6"/>
      <c r="AE66" s="5"/>
      <c r="AF66" s="5"/>
      <c r="AG66" s="5"/>
      <c r="AH66" s="5"/>
      <c r="AI66" s="5"/>
      <c r="AJ66" s="5"/>
      <c r="AK66" s="5"/>
      <c r="AL66" s="5"/>
      <c r="AM66" s="5"/>
      <c r="AN66" s="5"/>
      <c r="AO66" s="5"/>
      <c r="AP66" s="5"/>
      <c r="AQ66" s="5"/>
      <c r="AR66" s="5"/>
    </row>
    <row r="67" spans="1:44" ht="13.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5"/>
      <c r="AF67" s="5"/>
      <c r="AG67" s="5"/>
      <c r="AH67" s="5"/>
      <c r="AI67" s="5"/>
      <c r="AJ67" s="5"/>
      <c r="AK67" s="5"/>
      <c r="AL67" s="5"/>
      <c r="AM67" s="5"/>
      <c r="AN67" s="5"/>
      <c r="AO67" s="5"/>
      <c r="AP67" s="5"/>
      <c r="AQ67" s="5"/>
      <c r="AR67" s="5"/>
    </row>
    <row r="68" spans="1:44" ht="13.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5"/>
      <c r="AF68" s="5"/>
      <c r="AG68" s="5"/>
      <c r="AH68" s="5"/>
      <c r="AI68" s="5"/>
      <c r="AJ68" s="5"/>
      <c r="AK68" s="5"/>
      <c r="AL68" s="5"/>
      <c r="AM68" s="5"/>
      <c r="AN68" s="5"/>
      <c r="AO68" s="5"/>
      <c r="AP68" s="5"/>
      <c r="AQ68" s="5"/>
      <c r="AR68" s="5"/>
    </row>
    <row r="69" spans="1:44" ht="13.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5"/>
      <c r="AF69" s="5"/>
      <c r="AG69" s="5"/>
      <c r="AH69" s="5"/>
      <c r="AI69" s="5"/>
      <c r="AJ69" s="5"/>
      <c r="AK69" s="5"/>
      <c r="AL69" s="5"/>
      <c r="AM69" s="5"/>
      <c r="AN69" s="5"/>
      <c r="AO69" s="5"/>
      <c r="AP69" s="5"/>
      <c r="AQ69" s="5"/>
      <c r="AR69" s="5"/>
    </row>
    <row r="70" spans="1:44" ht="13.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5"/>
      <c r="AF70" s="5"/>
      <c r="AG70" s="5"/>
      <c r="AH70" s="5"/>
      <c r="AI70" s="5"/>
      <c r="AJ70" s="5"/>
      <c r="AK70" s="5"/>
      <c r="AL70" s="5"/>
      <c r="AM70" s="5"/>
      <c r="AN70" s="5"/>
      <c r="AO70" s="5"/>
      <c r="AP70" s="5"/>
      <c r="AQ70" s="5"/>
      <c r="AR70" s="5"/>
    </row>
    <row r="71" spans="1:44" ht="13.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5"/>
      <c r="AF71" s="5"/>
      <c r="AG71" s="5"/>
      <c r="AH71" s="5"/>
      <c r="AI71" s="5"/>
      <c r="AJ71" s="5"/>
      <c r="AK71" s="5"/>
      <c r="AL71" s="5"/>
      <c r="AM71" s="5"/>
      <c r="AN71" s="5"/>
      <c r="AO71" s="5"/>
      <c r="AP71" s="5"/>
      <c r="AQ71" s="5"/>
      <c r="AR71" s="5"/>
    </row>
    <row r="72" spans="1:44" ht="13.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5"/>
      <c r="AF72" s="5"/>
      <c r="AG72" s="5"/>
      <c r="AH72" s="5"/>
      <c r="AI72" s="5"/>
      <c r="AJ72" s="5"/>
      <c r="AK72" s="5"/>
      <c r="AL72" s="5"/>
      <c r="AM72" s="5"/>
      <c r="AN72" s="5"/>
      <c r="AO72" s="5"/>
      <c r="AP72" s="5"/>
      <c r="AQ72" s="5"/>
      <c r="AR72" s="5"/>
    </row>
    <row r="73" spans="1:44" ht="13.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5"/>
      <c r="AF73" s="5"/>
      <c r="AG73" s="5"/>
      <c r="AH73" s="5"/>
      <c r="AI73" s="5"/>
      <c r="AJ73" s="5"/>
      <c r="AK73" s="5"/>
      <c r="AL73" s="5"/>
      <c r="AM73" s="5"/>
      <c r="AN73" s="5"/>
      <c r="AO73" s="5"/>
      <c r="AP73" s="5"/>
      <c r="AQ73" s="5"/>
      <c r="AR73" s="5"/>
    </row>
    <row r="74" spans="1:44" ht="13.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5"/>
      <c r="AF74" s="5"/>
      <c r="AG74" s="5"/>
      <c r="AH74" s="5"/>
      <c r="AI74" s="5"/>
      <c r="AJ74" s="5"/>
      <c r="AK74" s="5"/>
      <c r="AL74" s="5"/>
      <c r="AM74" s="5"/>
      <c r="AN74" s="5"/>
      <c r="AO74" s="5"/>
      <c r="AP74" s="5"/>
      <c r="AQ74" s="5"/>
      <c r="AR74" s="5"/>
    </row>
    <row r="75" spans="1:44" ht="13.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5"/>
      <c r="AF75" s="5"/>
      <c r="AG75" s="5"/>
      <c r="AH75" s="5"/>
      <c r="AI75" s="5"/>
      <c r="AJ75" s="5"/>
      <c r="AK75" s="5"/>
      <c r="AL75" s="5"/>
      <c r="AM75" s="5"/>
      <c r="AN75" s="5"/>
      <c r="AO75" s="5"/>
      <c r="AP75" s="5"/>
      <c r="AQ75" s="5"/>
      <c r="AR75" s="5"/>
    </row>
    <row r="76" spans="1:30"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sheetData>
  <mergeCells count="19">
    <mergeCell ref="A13:D13"/>
    <mergeCell ref="A11:B11"/>
    <mergeCell ref="A12:B12"/>
    <mergeCell ref="D11:E11"/>
    <mergeCell ref="D12:E12"/>
    <mergeCell ref="A19:B19"/>
    <mergeCell ref="A20:B20"/>
    <mergeCell ref="A1:D1"/>
    <mergeCell ref="A7:B7"/>
    <mergeCell ref="A8:B8"/>
    <mergeCell ref="D3:E3"/>
    <mergeCell ref="A15:B15"/>
    <mergeCell ref="A16:B16"/>
    <mergeCell ref="A17:B17"/>
    <mergeCell ref="A18:B18"/>
    <mergeCell ref="A3:C3"/>
    <mergeCell ref="A6:C6"/>
    <mergeCell ref="A4:B4"/>
    <mergeCell ref="A5:B5"/>
  </mergeCells>
  <printOptions/>
  <pageMargins left="0.75" right="0.75" top="1" bottom="1" header="0.5" footer="0.5"/>
  <pageSetup horizontalDpi="180" verticalDpi="18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9"/>
  <dimension ref="A1:AN50"/>
  <sheetViews>
    <sheetView workbookViewId="0" topLeftCell="A1">
      <selection activeCell="A1" sqref="A1:B1"/>
    </sheetView>
  </sheetViews>
  <sheetFormatPr defaultColWidth="9.140625" defaultRowHeight="12.75"/>
  <cols>
    <col min="1" max="16384" width="9.140625" style="4" customWidth="1"/>
  </cols>
  <sheetData>
    <row r="1" spans="1:40" ht="13.5" customHeight="1" thickBot="1" thickTop="1">
      <c r="A1" s="246" t="s">
        <v>70</v>
      </c>
      <c r="B1" s="247"/>
      <c r="C1" s="50"/>
      <c r="D1" s="51"/>
      <c r="E1" s="261" t="s">
        <v>82</v>
      </c>
      <c r="F1" s="261"/>
      <c r="G1" s="261"/>
      <c r="H1" s="261"/>
      <c r="I1" s="52"/>
      <c r="J1" s="53"/>
      <c r="K1" s="53"/>
      <c r="L1" s="50"/>
      <c r="M1" s="54"/>
      <c r="N1" s="55"/>
      <c r="O1" s="55"/>
      <c r="P1" s="55"/>
      <c r="Q1" s="55"/>
      <c r="R1" s="55"/>
      <c r="S1" s="55"/>
      <c r="T1" s="55"/>
      <c r="U1" s="55"/>
      <c r="V1" s="55"/>
      <c r="W1" s="55"/>
      <c r="X1" s="55"/>
      <c r="Y1" s="55"/>
      <c r="Z1" s="251" t="s">
        <v>198</v>
      </c>
      <c r="AA1" s="251"/>
      <c r="AB1" s="251"/>
      <c r="AC1" s="59" t="s">
        <v>71</v>
      </c>
      <c r="AD1" s="59" t="s">
        <v>58</v>
      </c>
      <c r="AE1" s="55"/>
      <c r="AF1" s="55"/>
      <c r="AG1" s="55"/>
      <c r="AH1" s="55"/>
      <c r="AI1" s="55"/>
      <c r="AJ1" s="55"/>
      <c r="AK1" s="55"/>
      <c r="AL1" s="55"/>
      <c r="AM1" s="55"/>
      <c r="AN1" s="55"/>
    </row>
    <row r="2" spans="1:40" ht="13.5" customHeight="1" thickBot="1" thickTop="1">
      <c r="A2" s="56"/>
      <c r="B2" s="56"/>
      <c r="C2" s="55"/>
      <c r="D2" s="51"/>
      <c r="E2" s="73"/>
      <c r="F2" s="52"/>
      <c r="G2" s="57" t="s">
        <v>83</v>
      </c>
      <c r="H2" s="57" t="s">
        <v>84</v>
      </c>
      <c r="I2" s="51"/>
      <c r="J2" s="50"/>
      <c r="K2" s="50"/>
      <c r="L2" s="50"/>
      <c r="M2" s="54"/>
      <c r="N2" s="55"/>
      <c r="O2" s="55"/>
      <c r="P2" s="55"/>
      <c r="Q2" s="55"/>
      <c r="R2" s="55"/>
      <c r="S2" s="55"/>
      <c r="T2" s="55"/>
      <c r="U2" s="55"/>
      <c r="V2" s="55"/>
      <c r="W2" s="55"/>
      <c r="X2" s="55"/>
      <c r="Y2" s="55"/>
      <c r="Z2" s="55"/>
      <c r="AA2" s="74"/>
      <c r="AB2" s="74"/>
      <c r="AC2" s="59">
        <f>0</f>
        <v>0</v>
      </c>
      <c r="AD2" s="59">
        <v>0</v>
      </c>
      <c r="AE2" s="55"/>
      <c r="AF2" s="55"/>
      <c r="AG2" s="55"/>
      <c r="AH2" s="55"/>
      <c r="AI2" s="55"/>
      <c r="AJ2" s="55"/>
      <c r="AK2" s="55"/>
      <c r="AL2" s="55"/>
      <c r="AM2" s="55"/>
      <c r="AN2" s="55"/>
    </row>
    <row r="3" spans="1:40" ht="13.5" customHeight="1" thickTop="1">
      <c r="A3" s="262" t="s">
        <v>190</v>
      </c>
      <c r="B3" s="263"/>
      <c r="C3" s="264"/>
      <c r="D3" s="51"/>
      <c r="E3" s="260" t="s">
        <v>76</v>
      </c>
      <c r="F3" s="260"/>
      <c r="G3" s="58">
        <v>15</v>
      </c>
      <c r="H3" s="58">
        <f>IF($G$9&lt;$G$10,MIN($G$5,$C$4),MAX(0,$G$5-$C$7))</f>
        <v>45</v>
      </c>
      <c r="I3" s="51"/>
      <c r="J3" s="50"/>
      <c r="K3" s="50"/>
      <c r="L3" s="50"/>
      <c r="M3" s="55"/>
      <c r="N3" s="55"/>
      <c r="O3" s="55"/>
      <c r="P3" s="55"/>
      <c r="Q3" s="55"/>
      <c r="R3" s="55"/>
      <c r="S3" s="55"/>
      <c r="T3" s="55"/>
      <c r="U3" s="55"/>
      <c r="V3" s="55"/>
      <c r="W3" s="55"/>
      <c r="X3" s="55"/>
      <c r="Y3" s="55"/>
      <c r="Z3" s="55"/>
      <c r="AA3" s="74"/>
      <c r="AB3" s="74"/>
      <c r="AC3" s="59">
        <f>AC2+0.2</f>
        <v>0.2</v>
      </c>
      <c r="AD3" s="59">
        <f>AD2+0.2</f>
        <v>0.2</v>
      </c>
      <c r="AE3" s="55"/>
      <c r="AF3" s="55"/>
      <c r="AG3" s="55"/>
      <c r="AH3" s="55"/>
      <c r="AI3" s="55"/>
      <c r="AJ3" s="55"/>
      <c r="AK3" s="55"/>
      <c r="AL3" s="55"/>
      <c r="AM3" s="55"/>
      <c r="AN3" s="55"/>
    </row>
    <row r="4" spans="1:40" ht="13.5" customHeight="1">
      <c r="A4" s="265" t="s">
        <v>72</v>
      </c>
      <c r="B4" s="266"/>
      <c r="C4" s="60">
        <f>Gains_Linear!C9</f>
        <v>60</v>
      </c>
      <c r="D4" s="51"/>
      <c r="E4" s="260" t="s">
        <v>77</v>
      </c>
      <c r="F4" s="260"/>
      <c r="G4" s="58">
        <v>30</v>
      </c>
      <c r="H4" s="58">
        <f>IF($G$9&gt;$G$10,MIN($G$5,$C$7),MAX(0,$G$5-$C$4))</f>
        <v>0</v>
      </c>
      <c r="I4" s="61"/>
      <c r="J4" s="62"/>
      <c r="K4" s="50"/>
      <c r="L4" s="50"/>
      <c r="M4" s="63"/>
      <c r="N4" s="63"/>
      <c r="O4" s="55"/>
      <c r="P4" s="55"/>
      <c r="Q4" s="63"/>
      <c r="R4" s="55"/>
      <c r="S4" s="55"/>
      <c r="T4" s="55"/>
      <c r="U4" s="55"/>
      <c r="V4" s="55"/>
      <c r="W4" s="55"/>
      <c r="X4" s="55"/>
      <c r="Y4" s="55"/>
      <c r="Z4" s="55"/>
      <c r="AA4" s="74"/>
      <c r="AB4" s="74"/>
      <c r="AC4" s="74"/>
      <c r="AD4" s="74"/>
      <c r="AE4" s="55"/>
      <c r="AF4" s="55"/>
      <c r="AG4" s="55"/>
      <c r="AH4" s="55"/>
      <c r="AI4" s="55"/>
      <c r="AJ4" s="55"/>
      <c r="AK4" s="55"/>
      <c r="AL4" s="55"/>
      <c r="AM4" s="55"/>
      <c r="AN4" s="55"/>
    </row>
    <row r="5" spans="1:40" ht="13.5" customHeight="1">
      <c r="A5" s="265" t="s">
        <v>73</v>
      </c>
      <c r="B5" s="266"/>
      <c r="C5" s="60">
        <f>Gains_Linear!C10</f>
        <v>150</v>
      </c>
      <c r="D5" s="51"/>
      <c r="E5" s="260" t="s">
        <v>87</v>
      </c>
      <c r="F5" s="260"/>
      <c r="G5" s="58">
        <f>G3+G4</f>
        <v>45</v>
      </c>
      <c r="H5" s="58">
        <f>G3+G4</f>
        <v>45</v>
      </c>
      <c r="I5" s="61"/>
      <c r="J5" s="62"/>
      <c r="K5" s="50"/>
      <c r="L5" s="50"/>
      <c r="M5" s="63"/>
      <c r="N5" s="63"/>
      <c r="O5" s="55"/>
      <c r="P5" s="55"/>
      <c r="Q5" s="63"/>
      <c r="R5" s="55"/>
      <c r="S5" s="55"/>
      <c r="T5" s="55"/>
      <c r="U5" s="55"/>
      <c r="V5" s="55"/>
      <c r="W5" s="55"/>
      <c r="X5" s="55"/>
      <c r="Y5" s="55"/>
      <c r="Z5" s="55"/>
      <c r="AA5" s="74"/>
      <c r="AB5" s="74"/>
      <c r="AC5" s="74"/>
      <c r="AD5" s="74"/>
      <c r="AE5" s="55"/>
      <c r="AF5" s="55"/>
      <c r="AG5" s="55"/>
      <c r="AH5" s="55"/>
      <c r="AI5" s="55"/>
      <c r="AJ5" s="55"/>
      <c r="AK5" s="55"/>
      <c r="AL5" s="55"/>
      <c r="AM5" s="55"/>
      <c r="AN5" s="55"/>
    </row>
    <row r="6" spans="1:40" ht="13.5" customHeight="1">
      <c r="A6" s="265" t="s">
        <v>213</v>
      </c>
      <c r="B6" s="266"/>
      <c r="C6" s="267"/>
      <c r="D6" s="51"/>
      <c r="E6" s="260" t="s">
        <v>89</v>
      </c>
      <c r="F6" s="260"/>
      <c r="G6" s="58">
        <f>C5-(C5/C4)*G3</f>
        <v>112.5</v>
      </c>
      <c r="H6" s="58">
        <f>MAX($C$5-$G$9*$H$3,0)</f>
        <v>37.5</v>
      </c>
      <c r="I6" s="61"/>
      <c r="J6" s="62"/>
      <c r="K6" s="62"/>
      <c r="L6" s="50"/>
      <c r="M6" s="55"/>
      <c r="N6" s="55"/>
      <c r="O6" s="55"/>
      <c r="P6" s="55"/>
      <c r="Q6" s="55"/>
      <c r="R6" s="55"/>
      <c r="S6" s="55"/>
      <c r="T6" s="55"/>
      <c r="U6" s="55"/>
      <c r="V6" s="55"/>
      <c r="W6" s="55"/>
      <c r="X6" s="55"/>
      <c r="Y6" s="55"/>
      <c r="Z6" s="55"/>
      <c r="AA6" s="74"/>
      <c r="AB6" s="74"/>
      <c r="AC6" s="74"/>
      <c r="AD6" s="74"/>
      <c r="AE6" s="55"/>
      <c r="AF6" s="55"/>
      <c r="AG6" s="55"/>
      <c r="AH6" s="55"/>
      <c r="AI6" s="55"/>
      <c r="AJ6" s="55"/>
      <c r="AK6" s="55"/>
      <c r="AL6" s="55"/>
      <c r="AM6" s="55"/>
      <c r="AN6" s="55"/>
    </row>
    <row r="7" spans="1:40" ht="13.5" customHeight="1">
      <c r="A7" s="265" t="s">
        <v>39</v>
      </c>
      <c r="B7" s="266"/>
      <c r="C7" s="60">
        <f>Gains_Linear!C13</f>
        <v>50</v>
      </c>
      <c r="D7" s="51"/>
      <c r="E7" s="260" t="s">
        <v>90</v>
      </c>
      <c r="F7" s="260"/>
      <c r="G7" s="58">
        <f>C8-(C8/C7)*G4</f>
        <v>52</v>
      </c>
      <c r="H7" s="58">
        <f>MAX($C$8-$G$10*$H$4,0)</f>
        <v>130</v>
      </c>
      <c r="I7" s="61"/>
      <c r="J7" s="62"/>
      <c r="K7" s="62"/>
      <c r="L7" s="50"/>
      <c r="M7" s="55"/>
      <c r="N7" s="55"/>
      <c r="O7" s="55"/>
      <c r="P7" s="55"/>
      <c r="Q7" s="55"/>
      <c r="R7" s="55"/>
      <c r="S7" s="55"/>
      <c r="T7" s="55"/>
      <c r="U7" s="55"/>
      <c r="V7" s="55"/>
      <c r="W7" s="55"/>
      <c r="X7" s="55"/>
      <c r="Y7" s="55"/>
      <c r="Z7" s="55"/>
      <c r="AA7" s="74"/>
      <c r="AB7" s="252" t="s">
        <v>196</v>
      </c>
      <c r="AC7" s="253"/>
      <c r="AD7" s="59">
        <f>C19-G6</f>
        <v>0</v>
      </c>
      <c r="AE7" s="55"/>
      <c r="AF7" s="55"/>
      <c r="AG7" s="55"/>
      <c r="AH7" s="55"/>
      <c r="AI7" s="55"/>
      <c r="AJ7" s="55"/>
      <c r="AK7" s="55"/>
      <c r="AL7" s="55"/>
      <c r="AM7" s="55"/>
      <c r="AN7" s="55"/>
    </row>
    <row r="8" spans="1:40" ht="13.5" customHeight="1">
      <c r="A8" s="265" t="s">
        <v>41</v>
      </c>
      <c r="B8" s="266"/>
      <c r="C8" s="60">
        <f>Gains_Linear!C14</f>
        <v>130</v>
      </c>
      <c r="D8" s="51"/>
      <c r="E8" s="260" t="s">
        <v>94</v>
      </c>
      <c r="F8" s="260"/>
      <c r="G8" s="58">
        <f>G6+G7</f>
        <v>164.5</v>
      </c>
      <c r="H8" s="58">
        <f>H6+H7</f>
        <v>167.5</v>
      </c>
      <c r="I8" s="51"/>
      <c r="J8" s="50"/>
      <c r="K8" s="50"/>
      <c r="L8" s="50"/>
      <c r="M8" s="63"/>
      <c r="N8" s="63"/>
      <c r="O8" s="63"/>
      <c r="P8" s="63"/>
      <c r="Q8" s="63"/>
      <c r="R8" s="55"/>
      <c r="S8" s="55"/>
      <c r="T8" s="55"/>
      <c r="U8" s="55"/>
      <c r="V8" s="55"/>
      <c r="W8" s="55"/>
      <c r="X8" s="55"/>
      <c r="Y8" s="55"/>
      <c r="Z8" s="55"/>
      <c r="AA8" s="74"/>
      <c r="AB8" s="252" t="s">
        <v>197</v>
      </c>
      <c r="AC8" s="253"/>
      <c r="AD8" s="59">
        <f>C20-G7</f>
        <v>3</v>
      </c>
      <c r="AE8" s="55"/>
      <c r="AF8" s="55"/>
      <c r="AG8" s="55"/>
      <c r="AH8" s="55"/>
      <c r="AI8" s="55"/>
      <c r="AJ8" s="55"/>
      <c r="AK8" s="55"/>
      <c r="AL8" s="55"/>
      <c r="AM8" s="55"/>
      <c r="AN8" s="55"/>
    </row>
    <row r="9" spans="1:40" ht="13.5" customHeight="1">
      <c r="A9" s="265" t="s">
        <v>76</v>
      </c>
      <c r="B9" s="266"/>
      <c r="C9" s="60">
        <f>Gains_Linear!C15</f>
        <v>25</v>
      </c>
      <c r="D9" s="254" t="s">
        <v>74</v>
      </c>
      <c r="E9" s="254"/>
      <c r="F9" s="254"/>
      <c r="G9" s="65">
        <f>$C$5/$C$4</f>
        <v>2.5</v>
      </c>
      <c r="H9" s="254" t="s">
        <v>29</v>
      </c>
      <c r="I9" s="255"/>
      <c r="J9" s="56"/>
      <c r="K9" s="50"/>
      <c r="L9" s="50"/>
      <c r="M9" s="55"/>
      <c r="N9" s="55"/>
      <c r="O9" s="55"/>
      <c r="P9" s="55"/>
      <c r="Q9" s="55"/>
      <c r="R9" s="55"/>
      <c r="S9" s="55"/>
      <c r="T9" s="55"/>
      <c r="U9" s="55"/>
      <c r="V9" s="55"/>
      <c r="W9" s="55"/>
      <c r="X9" s="55"/>
      <c r="Y9" s="55"/>
      <c r="Z9" s="55"/>
      <c r="AA9" s="55"/>
      <c r="AB9" s="74"/>
      <c r="AC9" s="74"/>
      <c r="AD9" s="55"/>
      <c r="AE9" s="55"/>
      <c r="AF9" s="55"/>
      <c r="AG9" s="55"/>
      <c r="AH9" s="55"/>
      <c r="AI9" s="55"/>
      <c r="AJ9" s="55"/>
      <c r="AK9" s="55"/>
      <c r="AL9" s="55"/>
      <c r="AM9" s="55"/>
      <c r="AN9" s="55"/>
    </row>
    <row r="10" spans="1:40" ht="13.5" customHeight="1" thickBot="1">
      <c r="A10" s="268" t="s">
        <v>77</v>
      </c>
      <c r="B10" s="269"/>
      <c r="C10" s="66">
        <f>Gains_Linear!C16</f>
        <v>25</v>
      </c>
      <c r="D10" s="254" t="s">
        <v>75</v>
      </c>
      <c r="E10" s="254"/>
      <c r="F10" s="254"/>
      <c r="G10" s="65">
        <f>$C$8/$C$7</f>
        <v>2.6</v>
      </c>
      <c r="H10" s="254" t="s">
        <v>29</v>
      </c>
      <c r="I10" s="255"/>
      <c r="J10" s="56"/>
      <c r="K10" s="50"/>
      <c r="L10" s="50"/>
      <c r="M10" s="55"/>
      <c r="N10" s="55"/>
      <c r="O10" s="55"/>
      <c r="P10" s="55"/>
      <c r="Q10" s="55"/>
      <c r="R10" s="63"/>
      <c r="S10" s="63"/>
      <c r="T10" s="63"/>
      <c r="U10" s="63"/>
      <c r="V10" s="63"/>
      <c r="W10" s="63"/>
      <c r="X10" s="63"/>
      <c r="Y10" s="63"/>
      <c r="Z10" s="63"/>
      <c r="AA10" s="63"/>
      <c r="AB10" s="74"/>
      <c r="AC10" s="74"/>
      <c r="AD10" s="63"/>
      <c r="AE10" s="63"/>
      <c r="AF10" s="63"/>
      <c r="AG10" s="63"/>
      <c r="AH10" s="63"/>
      <c r="AI10" s="63"/>
      <c r="AJ10" s="63"/>
      <c r="AK10" s="55"/>
      <c r="AL10" s="55"/>
      <c r="AM10" s="55"/>
      <c r="AN10" s="55"/>
    </row>
    <row r="11" spans="1:40" ht="13.5" customHeight="1" thickTop="1">
      <c r="A11" s="258" t="s">
        <v>78</v>
      </c>
      <c r="B11" s="259"/>
      <c r="C11" s="259"/>
      <c r="D11" s="256"/>
      <c r="E11" s="256"/>
      <c r="F11" s="79">
        <f>$C$5/$C$4</f>
        <v>2.5</v>
      </c>
      <c r="G11" s="79" t="s">
        <v>79</v>
      </c>
      <c r="H11" s="79">
        <f>$C$8/$C$7</f>
        <v>2.6</v>
      </c>
      <c r="I11" s="256" t="s">
        <v>80</v>
      </c>
      <c r="J11" s="257"/>
      <c r="K11" s="53"/>
      <c r="L11" s="53"/>
      <c r="M11" s="64"/>
      <c r="N11" s="64"/>
      <c r="O11" s="55"/>
      <c r="P11" s="55"/>
      <c r="Q11" s="55"/>
      <c r="R11" s="55"/>
      <c r="S11" s="63"/>
      <c r="T11" s="63"/>
      <c r="U11" s="63"/>
      <c r="V11" s="63"/>
      <c r="W11" s="63"/>
      <c r="X11" s="63"/>
      <c r="Y11" s="63"/>
      <c r="Z11" s="63"/>
      <c r="AA11" s="63"/>
      <c r="AB11" s="63"/>
      <c r="AC11" s="63"/>
      <c r="AD11" s="63"/>
      <c r="AE11" s="63"/>
      <c r="AF11" s="63"/>
      <c r="AG11" s="63"/>
      <c r="AH11" s="63"/>
      <c r="AI11" s="63"/>
      <c r="AJ11" s="63"/>
      <c r="AK11" s="55"/>
      <c r="AL11" s="55"/>
      <c r="AM11" s="55"/>
      <c r="AN11" s="55"/>
    </row>
    <row r="12" spans="1:40" ht="13.5" customHeight="1">
      <c r="A12" s="55"/>
      <c r="B12" s="55"/>
      <c r="C12" s="55"/>
      <c r="D12" s="55"/>
      <c r="E12" s="55"/>
      <c r="F12" s="55"/>
      <c r="G12" s="55"/>
      <c r="H12" s="55"/>
      <c r="I12" s="55"/>
      <c r="J12" s="55"/>
      <c r="K12" s="53"/>
      <c r="L12" s="53"/>
      <c r="M12" s="64"/>
      <c r="N12" s="64"/>
      <c r="O12" s="55"/>
      <c r="P12" s="55"/>
      <c r="Q12" s="55"/>
      <c r="R12" s="55"/>
      <c r="S12" s="63"/>
      <c r="T12" s="63"/>
      <c r="U12" s="63"/>
      <c r="V12" s="63"/>
      <c r="W12" s="63"/>
      <c r="X12" s="63"/>
      <c r="Y12" s="63"/>
      <c r="Z12" s="63"/>
      <c r="AA12" s="63"/>
      <c r="AB12" s="63"/>
      <c r="AC12" s="63"/>
      <c r="AD12" s="63"/>
      <c r="AE12" s="63"/>
      <c r="AF12" s="63"/>
      <c r="AG12" s="63"/>
      <c r="AH12" s="63"/>
      <c r="AI12" s="63"/>
      <c r="AJ12" s="63"/>
      <c r="AK12" s="55"/>
      <c r="AL12" s="55"/>
      <c r="AM12" s="55"/>
      <c r="AN12" s="55"/>
    </row>
    <row r="13" spans="1:40" ht="13.5" customHeight="1" thickBot="1">
      <c r="A13" s="201" t="s">
        <v>199</v>
      </c>
      <c r="B13" s="201"/>
      <c r="C13" s="201"/>
      <c r="D13" s="201"/>
      <c r="E13" s="201"/>
      <c r="F13" s="201"/>
      <c r="G13" s="56"/>
      <c r="H13" s="56"/>
      <c r="I13" s="50"/>
      <c r="J13" s="50"/>
      <c r="K13" s="67"/>
      <c r="L13" s="67"/>
      <c r="M13" s="64"/>
      <c r="N13" s="64"/>
      <c r="O13" s="55"/>
      <c r="P13" s="55"/>
      <c r="Q13" s="55"/>
      <c r="R13" s="55"/>
      <c r="S13" s="63"/>
      <c r="T13" s="63"/>
      <c r="U13" s="63"/>
      <c r="V13" s="63"/>
      <c r="W13" s="63"/>
      <c r="X13" s="63"/>
      <c r="Y13" s="63"/>
      <c r="Z13" s="63"/>
      <c r="AA13" s="63"/>
      <c r="AB13" s="63"/>
      <c r="AC13" s="63"/>
      <c r="AD13" s="63"/>
      <c r="AE13" s="63"/>
      <c r="AF13" s="63"/>
      <c r="AG13" s="63"/>
      <c r="AH13" s="63"/>
      <c r="AI13" s="63"/>
      <c r="AJ13" s="63"/>
      <c r="AK13" s="55"/>
      <c r="AL13" s="55"/>
      <c r="AM13" s="55"/>
      <c r="AN13" s="55"/>
    </row>
    <row r="14" spans="1:40" ht="13.5" customHeight="1" thickTop="1">
      <c r="A14" s="51"/>
      <c r="B14" s="202" t="s">
        <v>85</v>
      </c>
      <c r="C14" s="202"/>
      <c r="D14" s="10">
        <v>10</v>
      </c>
      <c r="E14" s="51"/>
      <c r="F14" s="51"/>
      <c r="G14" s="56"/>
      <c r="H14" s="56"/>
      <c r="I14" s="55"/>
      <c r="J14" s="55"/>
      <c r="K14" s="50"/>
      <c r="L14" s="50"/>
      <c r="M14" s="63"/>
      <c r="N14" s="55"/>
      <c r="O14" s="55"/>
      <c r="P14" s="55"/>
      <c r="Q14" s="63"/>
      <c r="R14" s="55"/>
      <c r="S14" s="63"/>
      <c r="T14" s="63"/>
      <c r="U14" s="63"/>
      <c r="V14" s="63"/>
      <c r="W14" s="63"/>
      <c r="X14" s="63"/>
      <c r="Y14" s="63"/>
      <c r="Z14" s="63"/>
      <c r="AA14" s="63"/>
      <c r="AB14" s="63"/>
      <c r="AC14" s="63"/>
      <c r="AD14" s="63"/>
      <c r="AE14" s="63"/>
      <c r="AF14" s="63"/>
      <c r="AG14" s="63"/>
      <c r="AH14" s="63"/>
      <c r="AI14" s="63"/>
      <c r="AJ14" s="63"/>
      <c r="AK14" s="55"/>
      <c r="AL14" s="55"/>
      <c r="AM14" s="55"/>
      <c r="AN14" s="55"/>
    </row>
    <row r="15" spans="1:40" ht="13.5" customHeight="1">
      <c r="A15" s="51"/>
      <c r="B15" s="214" t="s">
        <v>86</v>
      </c>
      <c r="C15" s="214"/>
      <c r="D15" s="23">
        <v>4</v>
      </c>
      <c r="E15" s="51"/>
      <c r="F15" s="51"/>
      <c r="G15" s="56"/>
      <c r="H15" s="56"/>
      <c r="I15" s="55"/>
      <c r="J15" s="55"/>
      <c r="K15" s="55"/>
      <c r="L15" s="55"/>
      <c r="M15" s="63"/>
      <c r="N15" s="55"/>
      <c r="O15" s="55"/>
      <c r="P15" s="55"/>
      <c r="Q15" s="63"/>
      <c r="R15" s="55"/>
      <c r="S15" s="63"/>
      <c r="T15" s="63"/>
      <c r="U15" s="63"/>
      <c r="V15" s="63"/>
      <c r="W15" s="63"/>
      <c r="X15" s="63"/>
      <c r="Y15" s="63"/>
      <c r="Z15" s="63"/>
      <c r="AA15" s="63"/>
      <c r="AB15" s="63"/>
      <c r="AC15" s="63"/>
      <c r="AD15" s="63"/>
      <c r="AE15" s="63"/>
      <c r="AF15" s="63"/>
      <c r="AG15" s="63"/>
      <c r="AH15" s="63"/>
      <c r="AI15" s="63"/>
      <c r="AJ15" s="63"/>
      <c r="AK15" s="55"/>
      <c r="AL15" s="55"/>
      <c r="AM15" s="55"/>
      <c r="AN15" s="55"/>
    </row>
    <row r="16" spans="1:40" ht="13.5" customHeight="1" thickBot="1">
      <c r="A16" s="248" t="str">
        <f>IF(OR(C17&lt;F11,C17&gt;H11),"The Price Ratio is Invalid.  Please Choose Another Price Ratio"," ")</f>
        <v> </v>
      </c>
      <c r="B16" s="248"/>
      <c r="C16" s="248"/>
      <c r="D16" s="248"/>
      <c r="E16" s="248"/>
      <c r="F16" s="248"/>
      <c r="G16" s="50"/>
      <c r="H16" s="50"/>
      <c r="I16" s="55"/>
      <c r="J16" s="55"/>
      <c r="K16" s="55"/>
      <c r="L16" s="55"/>
      <c r="M16" s="63"/>
      <c r="N16" s="63"/>
      <c r="O16" s="63"/>
      <c r="P16" s="63"/>
      <c r="Q16" s="63"/>
      <c r="R16" s="55"/>
      <c r="S16" s="63"/>
      <c r="T16" s="63"/>
      <c r="U16" s="63"/>
      <c r="V16" s="63"/>
      <c r="W16" s="63"/>
      <c r="X16" s="63"/>
      <c r="Y16" s="63"/>
      <c r="Z16" s="63"/>
      <c r="AA16" s="63"/>
      <c r="AB16" s="63"/>
      <c r="AC16" s="63"/>
      <c r="AD16" s="63"/>
      <c r="AE16" s="63"/>
      <c r="AF16" s="63"/>
      <c r="AG16" s="63"/>
      <c r="AH16" s="63"/>
      <c r="AI16" s="63"/>
      <c r="AJ16" s="63"/>
      <c r="AK16" s="55"/>
      <c r="AL16" s="55"/>
      <c r="AM16" s="55"/>
      <c r="AN16" s="55"/>
    </row>
    <row r="17" spans="1:40" ht="13.5" customHeight="1" thickBot="1" thickTop="1">
      <c r="A17" s="240" t="s">
        <v>88</v>
      </c>
      <c r="B17" s="241"/>
      <c r="C17" s="68">
        <f>D14/D15</f>
        <v>2.5</v>
      </c>
      <c r="D17" s="249" t="s">
        <v>194</v>
      </c>
      <c r="E17" s="249"/>
      <c r="F17" s="249"/>
      <c r="G17" s="249"/>
      <c r="H17" s="249"/>
      <c r="I17" s="249"/>
      <c r="J17" s="250"/>
      <c r="K17" s="55"/>
      <c r="L17" s="55"/>
      <c r="M17" s="63"/>
      <c r="N17" s="63"/>
      <c r="O17" s="63"/>
      <c r="P17" s="63"/>
      <c r="Q17" s="63"/>
      <c r="R17" s="55"/>
      <c r="S17" s="63"/>
      <c r="T17" s="63"/>
      <c r="U17" s="63"/>
      <c r="V17" s="63"/>
      <c r="W17" s="63"/>
      <c r="X17" s="63"/>
      <c r="Y17" s="63"/>
      <c r="Z17" s="63"/>
      <c r="AA17" s="63"/>
      <c r="AB17" s="63"/>
      <c r="AC17" s="63"/>
      <c r="AD17" s="63"/>
      <c r="AE17" s="63"/>
      <c r="AF17" s="63"/>
      <c r="AG17" s="63"/>
      <c r="AH17" s="63"/>
      <c r="AI17" s="63"/>
      <c r="AJ17" s="63"/>
      <c r="AK17" s="55"/>
      <c r="AL17" s="55"/>
      <c r="AM17" s="55"/>
      <c r="AN17" s="55"/>
    </row>
    <row r="18" spans="1:40" ht="13.5" customHeight="1" thickBot="1">
      <c r="A18" s="69"/>
      <c r="B18" s="70"/>
      <c r="C18" s="67"/>
      <c r="D18" s="237" t="s">
        <v>195</v>
      </c>
      <c r="E18" s="238"/>
      <c r="F18" s="238"/>
      <c r="G18" s="238"/>
      <c r="H18" s="238"/>
      <c r="I18" s="238"/>
      <c r="J18" s="239"/>
      <c r="K18" s="55"/>
      <c r="L18" s="55"/>
      <c r="M18" s="55"/>
      <c r="N18" s="55"/>
      <c r="O18" s="55"/>
      <c r="P18" s="55"/>
      <c r="Q18" s="55"/>
      <c r="R18" s="55"/>
      <c r="S18" s="63"/>
      <c r="T18" s="63"/>
      <c r="U18" s="63"/>
      <c r="V18" s="63"/>
      <c r="W18" s="63"/>
      <c r="X18" s="63"/>
      <c r="Y18" s="63"/>
      <c r="Z18" s="63"/>
      <c r="AA18" s="63"/>
      <c r="AB18" s="63"/>
      <c r="AC18" s="63"/>
      <c r="AD18" s="63"/>
      <c r="AE18" s="63"/>
      <c r="AF18" s="63"/>
      <c r="AG18" s="63"/>
      <c r="AH18" s="63"/>
      <c r="AI18" s="63"/>
      <c r="AJ18" s="63"/>
      <c r="AK18" s="55"/>
      <c r="AL18" s="55"/>
      <c r="AM18" s="55"/>
      <c r="AN18" s="55"/>
    </row>
    <row r="19" spans="1:40" ht="13.5" customHeight="1">
      <c r="A19" s="242" t="s">
        <v>91</v>
      </c>
      <c r="B19" s="243"/>
      <c r="C19" s="75">
        <f>(H3-G3)*C17+H6</f>
        <v>112.5</v>
      </c>
      <c r="D19" s="243" t="s">
        <v>92</v>
      </c>
      <c r="E19" s="243"/>
      <c r="F19" s="243"/>
      <c r="G19" s="243"/>
      <c r="H19" s="243"/>
      <c r="I19" s="75">
        <f>C19-G6</f>
        <v>0</v>
      </c>
      <c r="J19" s="76" t="s">
        <v>93</v>
      </c>
      <c r="K19" s="55"/>
      <c r="L19" s="55"/>
      <c r="M19" s="55"/>
      <c r="N19" s="55"/>
      <c r="O19" s="56"/>
      <c r="P19" s="55"/>
      <c r="Q19" s="55"/>
      <c r="R19" s="63"/>
      <c r="S19" s="63"/>
      <c r="T19" s="63"/>
      <c r="U19" s="63"/>
      <c r="V19" s="63"/>
      <c r="W19" s="63"/>
      <c r="X19" s="63"/>
      <c r="Y19" s="63"/>
      <c r="Z19" s="63"/>
      <c r="AA19" s="63"/>
      <c r="AB19" s="63"/>
      <c r="AC19" s="63"/>
      <c r="AD19" s="63"/>
      <c r="AE19" s="63"/>
      <c r="AF19" s="63"/>
      <c r="AG19" s="63"/>
      <c r="AH19" s="63"/>
      <c r="AI19" s="63"/>
      <c r="AJ19" s="63"/>
      <c r="AK19" s="55"/>
      <c r="AL19" s="55"/>
      <c r="AM19" s="55"/>
      <c r="AN19" s="55"/>
    </row>
    <row r="20" spans="1:40" ht="13.5" customHeight="1" thickBot="1">
      <c r="A20" s="244" t="s">
        <v>95</v>
      </c>
      <c r="B20" s="245"/>
      <c r="C20" s="77">
        <f>H7+(H4-G4)*C17</f>
        <v>55</v>
      </c>
      <c r="D20" s="245" t="s">
        <v>96</v>
      </c>
      <c r="E20" s="245"/>
      <c r="F20" s="245"/>
      <c r="G20" s="245"/>
      <c r="H20" s="245"/>
      <c r="I20" s="77">
        <f>C20-G7</f>
        <v>3</v>
      </c>
      <c r="J20" s="78" t="s">
        <v>93</v>
      </c>
      <c r="K20" s="55"/>
      <c r="L20" s="55"/>
      <c r="M20" s="55"/>
      <c r="N20" s="55"/>
      <c r="O20" s="56"/>
      <c r="P20" s="55"/>
      <c r="Q20" s="55"/>
      <c r="R20" s="63"/>
      <c r="S20" s="63"/>
      <c r="T20" s="63"/>
      <c r="U20" s="63"/>
      <c r="V20" s="63"/>
      <c r="W20" s="63"/>
      <c r="X20" s="63"/>
      <c r="Y20" s="63"/>
      <c r="Z20" s="63"/>
      <c r="AA20" s="63"/>
      <c r="AB20" s="63"/>
      <c r="AC20" s="63"/>
      <c r="AD20" s="63"/>
      <c r="AE20" s="63"/>
      <c r="AF20" s="63"/>
      <c r="AG20" s="63"/>
      <c r="AH20" s="63"/>
      <c r="AI20" s="63"/>
      <c r="AJ20" s="63"/>
      <c r="AK20" s="55"/>
      <c r="AL20" s="55"/>
      <c r="AM20" s="55"/>
      <c r="AN20" s="55"/>
    </row>
    <row r="21" spans="1:40" ht="13.5" customHeight="1" thickTop="1">
      <c r="A21" s="55"/>
      <c r="B21" s="55"/>
      <c r="C21" s="55"/>
      <c r="D21" s="55"/>
      <c r="E21" s="55"/>
      <c r="F21" s="55"/>
      <c r="G21" s="55"/>
      <c r="H21" s="55"/>
      <c r="I21" s="55"/>
      <c r="J21" s="55"/>
      <c r="K21" s="55"/>
      <c r="L21" s="55"/>
      <c r="M21" s="55"/>
      <c r="N21" s="55"/>
      <c r="O21" s="56"/>
      <c r="P21" s="55"/>
      <c r="Q21" s="55"/>
      <c r="R21" s="63"/>
      <c r="S21" s="63"/>
      <c r="T21" s="63"/>
      <c r="U21" s="63"/>
      <c r="V21" s="63"/>
      <c r="W21" s="63"/>
      <c r="X21" s="63"/>
      <c r="Y21" s="63"/>
      <c r="Z21" s="63"/>
      <c r="AA21" s="63"/>
      <c r="AB21" s="63"/>
      <c r="AC21" s="63"/>
      <c r="AD21" s="63"/>
      <c r="AE21" s="63"/>
      <c r="AF21" s="63"/>
      <c r="AG21" s="63"/>
      <c r="AH21" s="63"/>
      <c r="AI21" s="63"/>
      <c r="AJ21" s="63"/>
      <c r="AK21" s="55"/>
      <c r="AL21" s="55"/>
      <c r="AM21" s="55"/>
      <c r="AN21" s="55"/>
    </row>
    <row r="22" spans="1:40" ht="13.5" customHeight="1">
      <c r="A22" s="55"/>
      <c r="B22" s="55"/>
      <c r="C22" s="55"/>
      <c r="D22" s="62"/>
      <c r="E22" s="55"/>
      <c r="F22" s="55"/>
      <c r="G22" s="55"/>
      <c r="H22" s="55"/>
      <c r="I22" s="55"/>
      <c r="J22" s="55"/>
      <c r="K22" s="55"/>
      <c r="L22" s="55"/>
      <c r="M22" s="55"/>
      <c r="N22" s="55"/>
      <c r="O22" s="56"/>
      <c r="P22" s="55"/>
      <c r="Q22" s="55"/>
      <c r="R22" s="63"/>
      <c r="S22" s="63"/>
      <c r="T22" s="63"/>
      <c r="U22" s="63"/>
      <c r="V22" s="63"/>
      <c r="W22" s="63"/>
      <c r="X22" s="63"/>
      <c r="Y22" s="63"/>
      <c r="Z22" s="63"/>
      <c r="AA22" s="63"/>
      <c r="AB22" s="63"/>
      <c r="AC22" s="63"/>
      <c r="AD22" s="63"/>
      <c r="AE22" s="63"/>
      <c r="AF22" s="63"/>
      <c r="AG22" s="63"/>
      <c r="AH22" s="63"/>
      <c r="AI22" s="63"/>
      <c r="AJ22" s="63"/>
      <c r="AK22" s="55"/>
      <c r="AL22" s="55"/>
      <c r="AM22" s="55"/>
      <c r="AN22" s="55"/>
    </row>
    <row r="23" spans="1:40" ht="13.5" customHeight="1">
      <c r="A23" s="55"/>
      <c r="B23" s="55"/>
      <c r="C23" s="55"/>
      <c r="D23" s="63"/>
      <c r="E23" s="55"/>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55"/>
      <c r="AL23" s="55"/>
      <c r="AM23" s="55"/>
      <c r="AN23" s="55"/>
    </row>
    <row r="24" spans="1:40" ht="13.5" customHeight="1">
      <c r="A24" s="55"/>
      <c r="B24" s="55"/>
      <c r="C24" s="55"/>
      <c r="D24" s="63"/>
      <c r="E24" s="63"/>
      <c r="F24" s="71"/>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55"/>
      <c r="AL24" s="55"/>
      <c r="AM24" s="55"/>
      <c r="AN24" s="55"/>
    </row>
    <row r="25" spans="1:40" ht="13.5" customHeight="1">
      <c r="A25" s="55"/>
      <c r="B25" s="55"/>
      <c r="C25" s="55"/>
      <c r="D25" s="63"/>
      <c r="E25" s="63"/>
      <c r="F25" s="71"/>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55"/>
      <c r="AL25" s="55"/>
      <c r="AM25" s="55"/>
      <c r="AN25" s="55"/>
    </row>
    <row r="26" spans="1:40" ht="13.5" customHeight="1">
      <c r="A26" s="55"/>
      <c r="B26" s="55"/>
      <c r="C26" s="55"/>
      <c r="D26" s="55"/>
      <c r="E26" s="55"/>
      <c r="F26" s="55"/>
      <c r="G26" s="55"/>
      <c r="H26" s="55"/>
      <c r="I26" s="55"/>
      <c r="J26" s="55"/>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55"/>
      <c r="AL26" s="55"/>
      <c r="AM26" s="55"/>
      <c r="AN26" s="55"/>
    </row>
    <row r="27" spans="1:40" ht="13.5" customHeight="1">
      <c r="A27" s="55"/>
      <c r="B27" s="55"/>
      <c r="C27" s="55"/>
      <c r="D27" s="55"/>
      <c r="E27" s="55"/>
      <c r="F27" s="55"/>
      <c r="G27" s="55"/>
      <c r="H27" s="55"/>
      <c r="I27" s="55"/>
      <c r="J27" s="55"/>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55"/>
      <c r="AL27" s="55"/>
      <c r="AM27" s="55"/>
      <c r="AN27" s="55"/>
    </row>
    <row r="28" spans="1:40" ht="13.5" customHeight="1">
      <c r="A28" s="55"/>
      <c r="B28" s="55"/>
      <c r="C28" s="55"/>
      <c r="D28" s="55"/>
      <c r="E28" s="55"/>
      <c r="F28" s="55"/>
      <c r="G28" s="55"/>
      <c r="H28" s="55"/>
      <c r="I28" s="55"/>
      <c r="J28" s="55"/>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55"/>
      <c r="AL28" s="55"/>
      <c r="AM28" s="55"/>
      <c r="AN28" s="55"/>
    </row>
    <row r="29" spans="1:40" ht="13.5" customHeight="1">
      <c r="A29" s="55"/>
      <c r="B29" s="55"/>
      <c r="C29" s="55"/>
      <c r="D29" s="55"/>
      <c r="E29" s="55"/>
      <c r="F29" s="55"/>
      <c r="G29" s="55"/>
      <c r="H29" s="55"/>
      <c r="I29" s="55"/>
      <c r="J29" s="55"/>
      <c r="K29" s="63"/>
      <c r="L29" s="63"/>
      <c r="M29" s="63"/>
      <c r="N29" s="63"/>
      <c r="O29" s="63"/>
      <c r="P29" s="63"/>
      <c r="Q29" s="63"/>
      <c r="R29" s="55"/>
      <c r="S29" s="55"/>
      <c r="T29" s="55"/>
      <c r="U29" s="55"/>
      <c r="V29" s="55"/>
      <c r="W29" s="55"/>
      <c r="X29" s="55"/>
      <c r="Y29" s="55"/>
      <c r="Z29" s="55"/>
      <c r="AA29" s="55"/>
      <c r="AB29" s="55"/>
      <c r="AC29" s="55"/>
      <c r="AD29" s="55"/>
      <c r="AE29" s="55"/>
      <c r="AF29" s="55"/>
      <c r="AG29" s="55"/>
      <c r="AH29" s="55"/>
      <c r="AI29" s="55"/>
      <c r="AJ29" s="55"/>
      <c r="AK29" s="55"/>
      <c r="AL29" s="55"/>
      <c r="AM29" s="55"/>
      <c r="AN29" s="55"/>
    </row>
    <row r="30" spans="1:40" ht="13.5" customHeight="1">
      <c r="A30" s="55"/>
      <c r="B30" s="55"/>
      <c r="C30" s="55"/>
      <c r="D30" s="55"/>
      <c r="E30" s="55"/>
      <c r="F30" s="55"/>
      <c r="G30" s="55"/>
      <c r="H30" s="55"/>
      <c r="I30" s="55"/>
      <c r="J30" s="55"/>
      <c r="K30" s="63"/>
      <c r="L30" s="63"/>
      <c r="M30" s="63"/>
      <c r="N30" s="63"/>
      <c r="O30" s="63"/>
      <c r="P30" s="63"/>
      <c r="Q30" s="63"/>
      <c r="R30" s="55"/>
      <c r="S30" s="55"/>
      <c r="T30" s="55"/>
      <c r="U30" s="55"/>
      <c r="V30" s="55"/>
      <c r="W30" s="55"/>
      <c r="X30" s="55"/>
      <c r="Y30" s="55"/>
      <c r="Z30" s="55"/>
      <c r="AA30" s="55"/>
      <c r="AB30" s="55"/>
      <c r="AC30" s="55"/>
      <c r="AD30" s="55"/>
      <c r="AE30" s="55"/>
      <c r="AF30" s="55"/>
      <c r="AG30" s="55"/>
      <c r="AH30" s="55"/>
      <c r="AI30" s="55"/>
      <c r="AJ30" s="55"/>
      <c r="AK30" s="55"/>
      <c r="AL30" s="55"/>
      <c r="AM30" s="55"/>
      <c r="AN30" s="55"/>
    </row>
    <row r="31" spans="1:40" ht="13.5" customHeight="1">
      <c r="A31" s="63"/>
      <c r="B31" s="63"/>
      <c r="C31" s="63"/>
      <c r="D31" s="63"/>
      <c r="E31" s="63"/>
      <c r="F31" s="63"/>
      <c r="G31" s="63"/>
      <c r="H31" s="63"/>
      <c r="I31" s="63"/>
      <c r="J31" s="63"/>
      <c r="K31" s="63"/>
      <c r="L31" s="63"/>
      <c r="M31" s="63"/>
      <c r="N31" s="63"/>
      <c r="O31" s="63"/>
      <c r="P31" s="63"/>
      <c r="Q31" s="63"/>
      <c r="R31" s="55"/>
      <c r="S31" s="55"/>
      <c r="T31" s="55"/>
      <c r="U31" s="55"/>
      <c r="V31" s="55"/>
      <c r="W31" s="55"/>
      <c r="X31" s="55"/>
      <c r="Y31" s="55"/>
      <c r="Z31" s="55"/>
      <c r="AA31" s="55"/>
      <c r="AB31" s="55"/>
      <c r="AC31" s="55"/>
      <c r="AD31" s="55"/>
      <c r="AE31" s="55"/>
      <c r="AF31" s="55"/>
      <c r="AG31" s="55"/>
      <c r="AH31" s="55"/>
      <c r="AI31" s="55"/>
      <c r="AJ31" s="55"/>
      <c r="AK31" s="55"/>
      <c r="AL31" s="55"/>
      <c r="AM31" s="55"/>
      <c r="AN31" s="55"/>
    </row>
    <row r="32" spans="1:40" ht="13.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row>
    <row r="33" spans="1:40" ht="13.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row>
    <row r="34" spans="1:40" ht="13.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row>
    <row r="35" spans="1:40" ht="13.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row>
    <row r="36" spans="1:40" ht="13.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row>
    <row r="37" spans="1:40" ht="13.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row>
    <row r="38" spans="1:40" ht="13.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row>
    <row r="39" spans="1:40" ht="13.5" customHeight="1">
      <c r="A39" s="72" t="s">
        <v>193</v>
      </c>
      <c r="B39" s="67"/>
      <c r="C39" s="67"/>
      <c r="D39" s="67"/>
      <c r="E39" s="67"/>
      <c r="F39" s="67">
        <f>F11</f>
        <v>2.5</v>
      </c>
      <c r="G39" s="67" t="str">
        <f>G11</f>
        <v>and</v>
      </c>
      <c r="H39" s="67">
        <f>H11</f>
        <v>2.6</v>
      </c>
      <c r="I39" s="67" t="s">
        <v>81</v>
      </c>
      <c r="J39" s="67"/>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row>
    <row r="40" spans="1:40" ht="13.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row>
    <row r="41" spans="1:40" ht="13.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row>
    <row r="42" spans="1:40" ht="13.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row>
    <row r="43" spans="1:40" ht="13.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row>
    <row r="44" spans="1:40" ht="13.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row>
    <row r="45" spans="1:40" ht="13.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row>
    <row r="46" spans="1:40" ht="13.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row>
    <row r="47" spans="1:40" ht="13.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row>
    <row r="48" spans="1:40" ht="13.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row>
    <row r="49" spans="1:40" ht="13.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row>
    <row r="50" spans="1:40" ht="13.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row>
  </sheetData>
  <mergeCells count="36">
    <mergeCell ref="A7:B7"/>
    <mergeCell ref="A8:B8"/>
    <mergeCell ref="A9:B9"/>
    <mergeCell ref="A10:B10"/>
    <mergeCell ref="A3:C3"/>
    <mergeCell ref="A4:B4"/>
    <mergeCell ref="A5:B5"/>
    <mergeCell ref="A6:C6"/>
    <mergeCell ref="E1:H1"/>
    <mergeCell ref="E3:F3"/>
    <mergeCell ref="E4:F4"/>
    <mergeCell ref="E5:F5"/>
    <mergeCell ref="E6:F6"/>
    <mergeCell ref="E7:F7"/>
    <mergeCell ref="E8:F8"/>
    <mergeCell ref="D9:F9"/>
    <mergeCell ref="H9:I9"/>
    <mergeCell ref="H10:I10"/>
    <mergeCell ref="I11:J11"/>
    <mergeCell ref="A11:E11"/>
    <mergeCell ref="A1:B1"/>
    <mergeCell ref="A16:F16"/>
    <mergeCell ref="D17:J17"/>
    <mergeCell ref="Z1:AB1"/>
    <mergeCell ref="AB7:AC7"/>
    <mergeCell ref="AB8:AC8"/>
    <mergeCell ref="B15:C15"/>
    <mergeCell ref="A13:F13"/>
    <mergeCell ref="B14:C14"/>
    <mergeCell ref="D10:F10"/>
    <mergeCell ref="D18:J18"/>
    <mergeCell ref="A17:B17"/>
    <mergeCell ref="A19:B19"/>
    <mergeCell ref="A20:B20"/>
    <mergeCell ref="D19:H19"/>
    <mergeCell ref="D20:H20"/>
  </mergeCells>
  <printOptions/>
  <pageMargins left="0.75" right="0.75" top="1" bottom="1" header="0.5" footer="0.5"/>
  <pageSetup horizontalDpi="180" verticalDpi="180" orientation="portrait" r:id="rId2"/>
  <headerFooter alignWithMargins="0">
    <oddHeader>&amp;C&amp;A</oddHeader>
    <oddFooter>&amp;CPage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Justin Neal Enterprises,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Neal</dc:creator>
  <cp:keywords/>
  <dc:description/>
  <cp:lastModifiedBy>Wilson Mixon</cp:lastModifiedBy>
  <dcterms:created xsi:type="dcterms:W3CDTF">1999-09-10T14:33:21Z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